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9095" windowHeight="11505"/>
  </bookViews>
  <sheets>
    <sheet name="Φύλλο1" sheetId="1" r:id="rId1"/>
    <sheet name="Φύλλο2" sheetId="2" r:id="rId2"/>
    <sheet name="Φύλλο3" sheetId="3" r:id="rId3"/>
  </sheets>
  <calcPr calcId="125725"/>
</workbook>
</file>

<file path=xl/calcChain.xml><?xml version="1.0" encoding="utf-8"?>
<calcChain xmlns="http://schemas.openxmlformats.org/spreadsheetml/2006/main">
  <c r="U72" i="1"/>
  <c r="U74" s="1"/>
  <c r="U76" s="1"/>
  <c r="U78" s="1"/>
  <c r="U80" s="1"/>
  <c r="U82" s="1"/>
  <c r="U84" s="1"/>
  <c r="U86" s="1"/>
  <c r="U88" s="1"/>
  <c r="U90" s="1"/>
  <c r="U92" s="1"/>
  <c r="U94" s="1"/>
  <c r="Y86"/>
  <c r="AC13"/>
  <c r="AC14" s="1"/>
  <c r="AC15" s="1"/>
  <c r="Y70" l="1"/>
  <c r="Y71" s="1"/>
  <c r="Y51"/>
  <c r="Y39"/>
  <c r="Y30"/>
  <c r="Y11"/>
  <c r="Y78" l="1"/>
  <c r="Y72"/>
  <c r="Y73" s="1"/>
  <c r="Y77" s="1"/>
  <c r="Y59"/>
  <c r="Y60" s="1"/>
  <c r="Y13" l="1"/>
  <c r="Y14" s="1"/>
  <c r="Y15" s="1"/>
  <c r="Y16" s="1"/>
  <c r="Y17" s="1"/>
  <c r="AC35" s="1"/>
  <c r="AC58" s="1"/>
  <c r="T15"/>
  <c r="T14"/>
  <c r="Y52"/>
  <c r="Y53" s="1"/>
  <c r="Y54" s="1"/>
  <c r="Y55" s="1"/>
  <c r="Y40"/>
  <c r="Y41" s="1"/>
  <c r="Y42" s="1"/>
  <c r="Y43" s="1"/>
  <c r="Y31"/>
  <c r="Y32" s="1"/>
  <c r="Y33" s="1"/>
  <c r="Y34" s="1"/>
  <c r="Y35" s="1"/>
  <c r="AC55" s="1"/>
  <c r="G68" l="1"/>
  <c r="AC59"/>
  <c r="AC60" s="1"/>
  <c r="AC64" s="1"/>
  <c r="AC67" s="1"/>
  <c r="G67"/>
  <c r="Y44"/>
  <c r="Y46" s="1"/>
  <c r="Y47" s="1"/>
  <c r="Y48" s="1"/>
  <c r="Y18"/>
  <c r="Y19" s="1"/>
  <c r="Y20" s="1"/>
  <c r="Y21" s="1"/>
  <c r="Y22" s="1"/>
  <c r="Y26"/>
  <c r="AC24" s="1"/>
  <c r="Y36"/>
  <c r="Y37"/>
  <c r="J78" s="1"/>
  <c r="Y63"/>
  <c r="Y61"/>
  <c r="Y62" s="1"/>
  <c r="Y49" l="1"/>
  <c r="Y45"/>
  <c r="J80" s="1"/>
  <c r="Y56"/>
  <c r="J81" s="1"/>
  <c r="Y57"/>
  <c r="G70" s="1"/>
  <c r="AF89" s="1"/>
  <c r="Y68"/>
  <c r="Y65"/>
  <c r="Y66" s="1"/>
  <c r="Y67" s="1"/>
  <c r="J82" s="1"/>
  <c r="Y25"/>
  <c r="AC25" s="1"/>
  <c r="AC26" s="1"/>
  <c r="Y24"/>
  <c r="J77" s="1"/>
  <c r="Y74" l="1"/>
  <c r="Y75" s="1"/>
  <c r="Y76" s="1"/>
  <c r="Y79" s="1"/>
  <c r="Y80" s="1"/>
  <c r="J83" s="1"/>
  <c r="AC83"/>
  <c r="AC38"/>
  <c r="AC19"/>
  <c r="G69"/>
  <c r="AC18"/>
  <c r="AC20" s="1"/>
  <c r="Y81" l="1"/>
  <c r="Y82" s="1"/>
  <c r="AC84" s="1"/>
  <c r="AC86" s="1"/>
  <c r="AC87" s="1"/>
  <c r="AC21"/>
  <c r="O70" s="1"/>
  <c r="AC37"/>
  <c r="O93" l="1"/>
  <c r="O94" s="1"/>
  <c r="Q94" s="1"/>
  <c r="T94" s="1"/>
  <c r="O91"/>
  <c r="O92" s="1"/>
  <c r="Q92" s="1"/>
  <c r="T92" s="1"/>
  <c r="O85"/>
  <c r="O86" s="1"/>
  <c r="Q86" s="1"/>
  <c r="T86" s="1"/>
  <c r="O81"/>
  <c r="O82" s="1"/>
  <c r="Q82" s="1"/>
  <c r="T82" s="1"/>
  <c r="O79"/>
  <c r="O80" s="1"/>
  <c r="Q80" s="1"/>
  <c r="T80" s="1"/>
  <c r="O75"/>
  <c r="O76" s="1"/>
  <c r="Q76" s="1"/>
  <c r="T76" s="1"/>
  <c r="O71"/>
  <c r="O72" s="1"/>
  <c r="Q72" s="1"/>
  <c r="O89"/>
  <c r="O90" s="1"/>
  <c r="Q90" s="1"/>
  <c r="T90" s="1"/>
  <c r="O87"/>
  <c r="O88" s="1"/>
  <c r="Q88" s="1"/>
  <c r="T88" s="1"/>
  <c r="O83"/>
  <c r="O84" s="1"/>
  <c r="Q84" s="1"/>
  <c r="T84" s="1"/>
  <c r="O77"/>
  <c r="O78" s="1"/>
  <c r="Q78" s="1"/>
  <c r="T78" s="1"/>
  <c r="O73"/>
  <c r="O74" s="1"/>
  <c r="Q74" s="1"/>
  <c r="T74" s="1"/>
  <c r="AC27"/>
  <c r="AC49" s="1"/>
  <c r="AC36"/>
  <c r="AC41" s="1"/>
  <c r="AC28" l="1"/>
  <c r="AC30" s="1"/>
  <c r="AC31" s="1"/>
  <c r="Q96"/>
  <c r="AC39" s="1"/>
  <c r="AC42" s="1"/>
  <c r="T96"/>
  <c r="AC40" s="1"/>
  <c r="AC43" l="1"/>
  <c r="AC44" s="1"/>
  <c r="AC45" s="1"/>
  <c r="AC46" s="1"/>
  <c r="AC47" s="1"/>
  <c r="AC50" s="1"/>
  <c r="AC51" l="1"/>
  <c r="AC57" l="1"/>
  <c r="AC61" s="1"/>
  <c r="AC62" l="1"/>
  <c r="AC63" l="1"/>
  <c r="AC68" s="1"/>
  <c r="AC69" l="1"/>
  <c r="AC70" s="1"/>
  <c r="AC71" s="1"/>
  <c r="AC81" s="1"/>
  <c r="AC88" s="1"/>
  <c r="AC89" s="1"/>
  <c r="AC90" s="1"/>
  <c r="AC91" l="1"/>
  <c r="AC92" s="1"/>
  <c r="AI164" s="1"/>
  <c r="AK125" s="1"/>
  <c r="AK126" s="1"/>
  <c r="AK127" s="1"/>
  <c r="AK128" s="1"/>
  <c r="AK129" s="1"/>
  <c r="AI79"/>
  <c r="AK40" s="1"/>
  <c r="AK41" s="1"/>
  <c r="AK42" s="1"/>
  <c r="AK43" s="1"/>
  <c r="AK44" s="1"/>
  <c r="AK45" s="1"/>
  <c r="AK46" s="1"/>
  <c r="AK47" s="1"/>
  <c r="AK48" s="1"/>
  <c r="AK49" s="1"/>
  <c r="AM125" l="1"/>
  <c r="AM126" s="1"/>
  <c r="AM130"/>
  <c r="AM131" s="1"/>
  <c r="AK130"/>
  <c r="AK131" s="1"/>
  <c r="AK132" s="1"/>
  <c r="AK133" s="1"/>
  <c r="AK134" s="1"/>
  <c r="AK11"/>
  <c r="AK12" s="1"/>
  <c r="AK24"/>
  <c r="AK96" l="1"/>
  <c r="AK97" s="1"/>
  <c r="AK109"/>
  <c r="AK13"/>
  <c r="AK16"/>
  <c r="AK19"/>
  <c r="AK18"/>
  <c r="AK17"/>
  <c r="AK20"/>
  <c r="AK15"/>
  <c r="AK22"/>
  <c r="AK14"/>
  <c r="AM13" s="1"/>
  <c r="AO13" s="1"/>
  <c r="AK21"/>
  <c r="AM20" s="1"/>
  <c r="AO20" s="1"/>
  <c r="AK102" l="1"/>
  <c r="AK107"/>
  <c r="AK103"/>
  <c r="AM102" s="1"/>
  <c r="AO102" s="1"/>
  <c r="AK99"/>
  <c r="AK98"/>
  <c r="AK104"/>
  <c r="AK100"/>
  <c r="AK105"/>
  <c r="AM104" s="1"/>
  <c r="AO104" s="1"/>
  <c r="AK101"/>
  <c r="AM100" s="1"/>
  <c r="AO100" s="1"/>
  <c r="AK106"/>
  <c r="AM105" s="1"/>
  <c r="AO105" s="1"/>
  <c r="AM19"/>
  <c r="AO19" s="1"/>
  <c r="AM17"/>
  <c r="AO17" s="1"/>
  <c r="AM15"/>
  <c r="AO15" s="1"/>
  <c r="AM21"/>
  <c r="AO21" s="1"/>
  <c r="AM14"/>
  <c r="AM16"/>
  <c r="AO16" s="1"/>
  <c r="AM18"/>
  <c r="AO18" s="1"/>
  <c r="AM99" l="1"/>
  <c r="AO99" s="1"/>
  <c r="AM103"/>
  <c r="AO103" s="1"/>
  <c r="AM101"/>
  <c r="AO101" s="1"/>
  <c r="AM98"/>
  <c r="AM106"/>
  <c r="AO106" s="1"/>
  <c r="AO14"/>
  <c r="AO22" s="1"/>
  <c r="AM22"/>
  <c r="AO98" l="1"/>
  <c r="AO107" s="1"/>
  <c r="AM107"/>
  <c r="AM23"/>
  <c r="AK25" s="1"/>
  <c r="AK27" s="1"/>
  <c r="AM108" l="1"/>
  <c r="AK110" s="1"/>
  <c r="AK116" s="1"/>
  <c r="AK34"/>
  <c r="AK29"/>
  <c r="AK31"/>
  <c r="AK30"/>
  <c r="AM29" s="1"/>
  <c r="AO29" s="1"/>
  <c r="AK35"/>
  <c r="AK28"/>
  <c r="AM27" s="1"/>
  <c r="AO27" s="1"/>
  <c r="AK32"/>
  <c r="AM31" s="1"/>
  <c r="AO31" s="1"/>
  <c r="AK26"/>
  <c r="AM26" s="1"/>
  <c r="AO26" s="1"/>
  <c r="AK33"/>
  <c r="AM32" s="1"/>
  <c r="AO32" s="1"/>
  <c r="AK115" l="1"/>
  <c r="AM115" s="1"/>
  <c r="AO115" s="1"/>
  <c r="AK113"/>
  <c r="AK114"/>
  <c r="AK112"/>
  <c r="AM112" s="1"/>
  <c r="AO112" s="1"/>
  <c r="AK119"/>
  <c r="AK120"/>
  <c r="AK117"/>
  <c r="AM116" s="1"/>
  <c r="AO116" s="1"/>
  <c r="AK111"/>
  <c r="AM111" s="1"/>
  <c r="AO111" s="1"/>
  <c r="AK118"/>
  <c r="AM117" s="1"/>
  <c r="AO117" s="1"/>
  <c r="AM34"/>
  <c r="AO34" s="1"/>
  <c r="AM28"/>
  <c r="AO28" s="1"/>
  <c r="AM30"/>
  <c r="AO30" s="1"/>
  <c r="AM33"/>
  <c r="AO33" s="1"/>
  <c r="AM113" l="1"/>
  <c r="AO113" s="1"/>
  <c r="AM118"/>
  <c r="AO118" s="1"/>
  <c r="AM114"/>
  <c r="AO114" s="1"/>
  <c r="AM119"/>
  <c r="AO119" s="1"/>
  <c r="AO35"/>
  <c r="AM35" s="1"/>
  <c r="AM45" s="1"/>
  <c r="AM46" s="1"/>
  <c r="AM47" s="1"/>
  <c r="AI85" s="1"/>
  <c r="AM40"/>
  <c r="AM41" s="1"/>
  <c r="AO120" l="1"/>
  <c r="AM120" s="1"/>
  <c r="AM132" s="1"/>
  <c r="AO123" s="1"/>
  <c r="AK167" s="1"/>
  <c r="AK168" s="1"/>
  <c r="AK169" s="1"/>
  <c r="AK170" s="1"/>
  <c r="AK171" s="1"/>
  <c r="AO38"/>
  <c r="AK82" s="1"/>
  <c r="AK83" s="1"/>
  <c r="AK84" s="1"/>
  <c r="AK85" s="1"/>
  <c r="AK86" s="1"/>
  <c r="AK87" s="1"/>
  <c r="AK88" s="1"/>
  <c r="AK89" s="1"/>
  <c r="AK90" s="1"/>
  <c r="AK91" s="1"/>
  <c r="AK51" s="1"/>
  <c r="AK52" s="1"/>
  <c r="AM39"/>
  <c r="AM42" s="1"/>
  <c r="AO81" s="1"/>
  <c r="AI87" s="1"/>
  <c r="AC76" s="1"/>
  <c r="G71" s="1"/>
  <c r="AI170" l="1"/>
  <c r="AM124"/>
  <c r="AM127" s="1"/>
  <c r="AO166" s="1"/>
  <c r="AI172" s="1"/>
  <c r="AC96" s="1"/>
  <c r="AC99" s="1"/>
  <c r="AM172"/>
  <c r="AM173" s="1"/>
  <c r="AM167"/>
  <c r="AM168" s="1"/>
  <c r="AK172"/>
  <c r="AK173" s="1"/>
  <c r="AK174" s="1"/>
  <c r="AK175" s="1"/>
  <c r="AK176" s="1"/>
  <c r="AK65"/>
  <c r="AF90"/>
  <c r="AI83"/>
  <c r="AK62"/>
  <c r="AK56"/>
  <c r="AK61"/>
  <c r="AK58"/>
  <c r="AK59"/>
  <c r="AK60"/>
  <c r="AK57"/>
  <c r="AK54"/>
  <c r="AK55"/>
  <c r="AK53"/>
  <c r="AI168" l="1"/>
  <c r="AK150"/>
  <c r="AK136"/>
  <c r="AK137" s="1"/>
  <c r="AM59"/>
  <c r="AO59" s="1"/>
  <c r="AM57"/>
  <c r="AO57" s="1"/>
  <c r="AM55"/>
  <c r="AO55" s="1"/>
  <c r="AM53"/>
  <c r="AO53" s="1"/>
  <c r="AM54"/>
  <c r="AO54" s="1"/>
  <c r="AM56"/>
  <c r="AO56" s="1"/>
  <c r="AM58"/>
  <c r="AO58" s="1"/>
  <c r="AM60"/>
  <c r="AO60" s="1"/>
  <c r="AM61"/>
  <c r="AO61" s="1"/>
  <c r="AK143" l="1"/>
  <c r="AK144"/>
  <c r="AK145"/>
  <c r="AK146"/>
  <c r="AK138"/>
  <c r="AK147"/>
  <c r="AM146" s="1"/>
  <c r="AO146" s="1"/>
  <c r="AK139"/>
  <c r="AM138" s="1"/>
  <c r="AK140"/>
  <c r="AK141"/>
  <c r="AK142"/>
  <c r="AM141" s="1"/>
  <c r="AO141" s="1"/>
  <c r="AO62"/>
  <c r="AM62"/>
  <c r="AM139" l="1"/>
  <c r="AO139" s="1"/>
  <c r="AM145"/>
  <c r="AO145" s="1"/>
  <c r="AM143"/>
  <c r="AO143" s="1"/>
  <c r="AM140"/>
  <c r="AO140" s="1"/>
  <c r="AM142"/>
  <c r="AO142" s="1"/>
  <c r="AM144"/>
  <c r="AO144" s="1"/>
  <c r="AO138"/>
  <c r="AM63"/>
  <c r="AK66" s="1"/>
  <c r="AK69" s="1"/>
  <c r="AM147" l="1"/>
  <c r="AO147"/>
  <c r="AK73"/>
  <c r="AK71"/>
  <c r="AK70"/>
  <c r="AM69" s="1"/>
  <c r="AO69" s="1"/>
  <c r="AK72"/>
  <c r="AK74"/>
  <c r="AK68"/>
  <c r="AK75"/>
  <c r="AM74" s="1"/>
  <c r="AO74" s="1"/>
  <c r="AK76"/>
  <c r="AK67"/>
  <c r="AM148" l="1"/>
  <c r="AK151" s="1"/>
  <c r="AK156" s="1"/>
  <c r="AM73"/>
  <c r="AO73" s="1"/>
  <c r="AM72"/>
  <c r="AO72" s="1"/>
  <c r="AM75"/>
  <c r="AO75" s="1"/>
  <c r="AM67"/>
  <c r="AO67" s="1"/>
  <c r="AM68"/>
  <c r="AO68" s="1"/>
  <c r="AM71"/>
  <c r="AO71" s="1"/>
  <c r="AM70"/>
  <c r="AO70" s="1"/>
  <c r="AK153" l="1"/>
  <c r="AK154"/>
  <c r="AK158"/>
  <c r="AK152"/>
  <c r="AK157"/>
  <c r="AM156" s="1"/>
  <c r="AO156" s="1"/>
  <c r="AK159"/>
  <c r="AK160"/>
  <c r="AK161"/>
  <c r="AK155"/>
  <c r="AM155" s="1"/>
  <c r="AO155" s="1"/>
  <c r="AO76"/>
  <c r="AM76" s="1"/>
  <c r="AM78" s="1"/>
  <c r="AM79" s="1"/>
  <c r="AM159" l="1"/>
  <c r="AO159" s="1"/>
  <c r="AM153"/>
  <c r="AO153" s="1"/>
  <c r="AM152"/>
  <c r="AO152" s="1"/>
  <c r="AM158"/>
  <c r="AO158" s="1"/>
  <c r="AM154"/>
  <c r="AO154" s="1"/>
  <c r="AM160"/>
  <c r="AO160" s="1"/>
  <c r="AM157"/>
  <c r="AO157" s="1"/>
  <c r="AM87"/>
  <c r="AM88" s="1"/>
  <c r="AM89" s="1"/>
  <c r="AO87" s="1"/>
  <c r="AI91" s="1"/>
  <c r="AM81"/>
  <c r="AO161" l="1"/>
  <c r="AM161" s="1"/>
  <c r="AM163" s="1"/>
  <c r="AM164" s="1"/>
  <c r="AM174" s="1"/>
  <c r="AO172" s="1"/>
  <c r="AI176" s="1"/>
  <c r="AC98" s="1"/>
  <c r="AC100" s="1"/>
  <c r="AC78"/>
  <c r="G73" s="1"/>
  <c r="AF92"/>
  <c r="AM82"/>
  <c r="AM83" s="1"/>
  <c r="AM84" s="1"/>
  <c r="AO84" s="1"/>
  <c r="AI89" s="1"/>
  <c r="AF91" s="1"/>
  <c r="AM166" l="1"/>
  <c r="AM169" s="1"/>
  <c r="AO169" s="1"/>
  <c r="AI174" s="1"/>
  <c r="AC97" s="1"/>
  <c r="AC101" s="1"/>
  <c r="AC102" s="1"/>
  <c r="AC103" s="1"/>
  <c r="AC106"/>
  <c r="AC77"/>
  <c r="G72" s="1"/>
  <c r="AC107" l="1"/>
  <c r="AC109" s="1"/>
  <c r="AC110" s="1"/>
  <c r="AC111" s="1"/>
  <c r="G77" s="1"/>
  <c r="AC108" l="1"/>
  <c r="E77" s="1"/>
</calcChain>
</file>

<file path=xl/comments1.xml><?xml version="1.0" encoding="utf-8"?>
<comments xmlns="http://schemas.openxmlformats.org/spreadsheetml/2006/main">
  <authors>
    <author>Giannis</author>
  </authors>
  <commentList>
    <comment ref="E78" authorId="0">
      <text>
        <r>
          <rPr>
            <b/>
            <sz val="9"/>
            <color indexed="81"/>
            <rFont val="Tahoma"/>
            <charset val="1"/>
          </rPr>
          <t>Giannis:</t>
        </r>
        <r>
          <rPr>
            <sz val="9"/>
            <color indexed="81"/>
            <rFont val="Tahoma"/>
            <charset val="1"/>
          </rPr>
          <t xml:space="preserve">
1)Αφού φορτώσουμε την στήριξη με όλο το φορτίο την σταθμίζουμε (αλφαδιάζουμε).
2)Γυρίζουμε τον άξονα της ορθής αναφοράς ώστε το σημάδι που έχουμε πάρει να τοποθετεί το κυκλάκι του πολικού στο σημείο της άνω μεσουράνησης του.
3) Γυρνώντας τον δίσκο θέσης της Ορθής Αναφοράς βάζουμε την παραπάνω ένδειξη.
4)Γυρίζουμε τον άξονα της Ορθής Αναφοράς μέχρι ο δίσκος θέσης να γράψει 0.
5) Τοποθετούμε τον πολικό αστέρα μέσα στο κυκλάκι. 
</t>
        </r>
      </text>
    </comment>
    <comment ref="H82" authorId="0">
      <text>
        <r>
          <rPr>
            <b/>
            <sz val="9"/>
            <color indexed="81"/>
            <rFont val="Tahoma"/>
            <family val="2"/>
            <charset val="161"/>
          </rPr>
          <t>Giannis:</t>
        </r>
        <r>
          <rPr>
            <sz val="9"/>
            <color indexed="81"/>
            <rFont val="Tahoma"/>
            <family val="2"/>
            <charset val="161"/>
          </rPr>
          <t xml:space="preserve">
Συμπληρώνουμε από 0 έως 24.
Όταν ισχύει το καθεστώς της θερινής Ώρας, 
αφαιρούμε  μία.</t>
        </r>
      </text>
    </comment>
  </commentList>
</comments>
</file>

<file path=xl/sharedStrings.xml><?xml version="1.0" encoding="utf-8"?>
<sst xmlns="http://schemas.openxmlformats.org/spreadsheetml/2006/main" count="776" uniqueCount="376">
  <si>
    <t>Λογισμικό εισόδου</t>
  </si>
  <si>
    <t>είσοδος Ετών</t>
  </si>
  <si>
    <t>αν το επάνω&gt;2029;0;το επάνω</t>
  </si>
  <si>
    <t>αν το επάνω&lt;2017;0;το επάνω</t>
  </si>
  <si>
    <t>αν το επάνω=0;"α";το επάνω</t>
  </si>
  <si>
    <t>Isnumber</t>
  </si>
  <si>
    <t xml:space="preserve">το επάνω * 1 </t>
  </si>
  <si>
    <t>αν το επάνω=1;είσοδος;"α"</t>
  </si>
  <si>
    <t>look up 1</t>
  </si>
  <si>
    <t>αν το επάνω=είσοδος;το επάνω;α</t>
  </si>
  <si>
    <t>look up 1 ΟΑ αρχή τρέχοντος έτους</t>
  </si>
  <si>
    <t>αν το επάνω=0;look up;""</t>
  </si>
  <si>
    <t>αν Isnumber=1;look up;0</t>
  </si>
  <si>
    <t>look up 2 ΟΑ αρχή επομενου έτους</t>
  </si>
  <si>
    <t>είσοδος Γεωγραφικού μήκους</t>
  </si>
  <si>
    <t>αν το επάνω=1;είσοδος;0</t>
  </si>
  <si>
    <r>
      <t>αν το επάνω&lt;</t>
    </r>
    <r>
      <rPr>
        <sz val="11"/>
        <color rgb="FFFF0000"/>
        <rFont val="Times New Roman"/>
        <family val="1"/>
        <charset val="161"/>
      </rPr>
      <t>19,375</t>
    </r>
    <r>
      <rPr>
        <sz val="11"/>
        <color theme="1"/>
        <rFont val="Times New Roman"/>
        <family val="1"/>
        <charset val="161"/>
      </rPr>
      <t>;0;το επάνω</t>
    </r>
  </si>
  <si>
    <r>
      <t>αν το επάνω&gt;</t>
    </r>
    <r>
      <rPr>
        <sz val="11"/>
        <color rgb="FFFF0000"/>
        <rFont val="Times New Roman"/>
        <family val="1"/>
        <charset val="161"/>
      </rPr>
      <t>30</t>
    </r>
    <r>
      <rPr>
        <sz val="11"/>
        <color theme="1"/>
        <rFont val="Times New Roman"/>
        <family val="1"/>
        <charset val="161"/>
      </rPr>
      <t>;0;το επάνω</t>
    </r>
  </si>
  <si>
    <t xml:space="preserve">αν το επάνω=0;"Γεωγραφικό Μήκος εκτός ορίου Ελληνικής επικράτειας. </t>
  </si>
  <si>
    <t xml:space="preserve">αν το επάνω=0;"Πέραν των δυνατοτήτων του προγράμματος. </t>
  </si>
  <si>
    <t>είσοδος Μηνών</t>
  </si>
  <si>
    <t>αν το επάνω =0;100;τοεπάνω</t>
  </si>
  <si>
    <t xml:space="preserve">αν το επάνω = 0 ; 13  ; είσοδος </t>
  </si>
  <si>
    <t>look up</t>
  </si>
  <si>
    <t>αν το επάνω = με το γκρι το; επάνω ;14</t>
  </si>
  <si>
    <t>είσοδος Ημερών</t>
  </si>
  <si>
    <t>αν το επάνω ; 1 ; Είσοδος ; 100</t>
  </si>
  <si>
    <t>αν το επάνω=0;100;το επάνω</t>
  </si>
  <si>
    <t>είσοδος ωρών</t>
  </si>
  <si>
    <t>αν το επάνω=1; Είσοδος; 0</t>
  </si>
  <si>
    <t>αν isnomber =FALSE =1;0</t>
  </si>
  <si>
    <t>αν είσοδος&gt;24;1;0</t>
  </si>
  <si>
    <t>άθροισμα</t>
  </si>
  <si>
    <t>αν άθροισμα&gt;0;Λάθος πληκτρολόγηση στην ώρα</t>
  </si>
  <si>
    <t>αν είσοδος&gt;24;0΄; Είσοδος</t>
  </si>
  <si>
    <t>είσοδος Λεπτών</t>
  </si>
  <si>
    <t>αν ώρες=24;0;1</t>
  </si>
  <si>
    <t>αν το επάνω=0; Είσοδος; 0</t>
  </si>
  <si>
    <t>αν το επάνω=0;0;1</t>
  </si>
  <si>
    <t>αν το γκρι&lt;60;0;1</t>
  </si>
  <si>
    <t>αν Isnumber=FALSE;1;0</t>
  </si>
  <si>
    <t>άθροισμα των τριών επάνω</t>
  </si>
  <si>
    <t>αν το επάνω&gt;0;"Λάθος πληκτρολόγηση στα λεπτά"</t>
  </si>
  <si>
    <t>αν αθροισμα=0;τογκρι;0</t>
  </si>
  <si>
    <t>αν επάνω&lt;60;το επάνω;0</t>
  </si>
  <si>
    <t>είσοδος μεσουράνησης 1/1</t>
  </si>
  <si>
    <t>από επάνω είσοδος ετών</t>
  </si>
  <si>
    <t>Look up</t>
  </si>
  <si>
    <t>Έτη</t>
  </si>
  <si>
    <t xml:space="preserve">Ορθή αναφορά 1/1 </t>
  </si>
  <si>
    <t>ΟΑ 1/1 επόμενου έτους</t>
  </si>
  <si>
    <t>Μεσουράνηση 1/1</t>
  </si>
  <si>
    <t>Δίσεκτο έτος Δεν περιέχεται στο πρόγραμμα!</t>
  </si>
  <si>
    <t xml:space="preserve"> Δεν περιέχεται στο πρόγραμμα!</t>
  </si>
  <si>
    <t>Δεν υπάρχει καταχώριση</t>
  </si>
  <si>
    <t>α</t>
  </si>
  <si>
    <t>β</t>
  </si>
  <si>
    <t>γ</t>
  </si>
  <si>
    <t>Κανονικό Έτος Δεν περιέχεται στο πρόγραμμα!</t>
  </si>
  <si>
    <t>Δίσεκτα έτη</t>
  </si>
  <si>
    <t>Κουτσοφλέβαρα έτη</t>
  </si>
  <si>
    <t>ΑΑ</t>
  </si>
  <si>
    <t>Μήνας</t>
  </si>
  <si>
    <t>Ημέρες μήνα</t>
  </si>
  <si>
    <t>Ημέρα του Χρόνου</t>
  </si>
  <si>
    <t>Ιανουάριος</t>
  </si>
  <si>
    <t>Φεβρουάριος</t>
  </si>
  <si>
    <t>Μάρτιος</t>
  </si>
  <si>
    <t>Απρίλιος</t>
  </si>
  <si>
    <t>Μάιος</t>
  </si>
  <si>
    <t>Ιούνιος</t>
  </si>
  <si>
    <t>Ιούλιος</t>
  </si>
  <si>
    <t xml:space="preserve">Αύγουστος </t>
  </si>
  <si>
    <t>Σεπτέμβριος</t>
  </si>
  <si>
    <t>Οκτώβριος</t>
  </si>
  <si>
    <t>Νοέμβριος</t>
  </si>
  <si>
    <t>Δεκέμβριος</t>
  </si>
  <si>
    <t>Μηνιαίος συντελεστής αστρικού χρόνου</t>
  </si>
  <si>
    <t>Λογισμικό αναζήτησης</t>
  </si>
  <si>
    <t>αν είσοδος&gt;0; Είσοδος ; 0</t>
  </si>
  <si>
    <t xml:space="preserve">αν το επάνω&gt;30 ; 0 ; Το επάνω </t>
  </si>
  <si>
    <t>αν το χακί&gt;0; Το δίπλα ; 0</t>
  </si>
  <si>
    <t>αν είσοδος&gt;30; Είσοδος ; 0</t>
  </si>
  <si>
    <t xml:space="preserve">αν το επάνω&gt;58 ; 0 ; Το επάνω </t>
  </si>
  <si>
    <t>αν είσοδος&gt;58; Είσοδος ; 0</t>
  </si>
  <si>
    <t xml:space="preserve">αν το επάνω&gt;89 ; 0 ; Το επάνω </t>
  </si>
  <si>
    <t>αν είσοδος&gt;89; Είσοδος ; 0</t>
  </si>
  <si>
    <t xml:space="preserve">αν το επάνω&gt;119 ; 0 ; Το επάνω </t>
  </si>
  <si>
    <t>αν είσοδος&gt;119; Είσοδος ; 0</t>
  </si>
  <si>
    <t xml:space="preserve">αν το επάνω&gt;150 ; 0 ; Το επάνω </t>
  </si>
  <si>
    <t>αν είσοδος&gt;150; Είσοδος ; 0</t>
  </si>
  <si>
    <t xml:space="preserve">αν το επάνω&gt;180; 0 ; Το επάνω </t>
  </si>
  <si>
    <t>αν είσοδος&gt;180; Είσοδος ; 0</t>
  </si>
  <si>
    <t xml:space="preserve">αν το επάνω&gt;211 ; 0 ; Το επάνω </t>
  </si>
  <si>
    <t>αν είσοδος&gt;211; Είσοδος ; 0</t>
  </si>
  <si>
    <t xml:space="preserve">αν το επάνω&gt;242 ; 0 ; Το επάνω </t>
  </si>
  <si>
    <t>αν είσοδος&gt;242; Είσοδος ; 0</t>
  </si>
  <si>
    <t xml:space="preserve">αν το επάνω&gt;272 ; 0 ; Το επάνω </t>
  </si>
  <si>
    <t>αν είσοδος&gt;272; Είσοδος ; 0</t>
  </si>
  <si>
    <t xml:space="preserve">αν το επάνω&gt;303 ; 0 ; Το επάνω </t>
  </si>
  <si>
    <t>αν είσοδος&gt;303; Είσοδος ; 0</t>
  </si>
  <si>
    <t xml:space="preserve">αν το επάνω&gt;333 ; 0 ; Το επάνω </t>
  </si>
  <si>
    <t>αν είσοδος&gt;333; Είσοδος ; 0</t>
  </si>
  <si>
    <t xml:space="preserve">αν το επάνω&gt;364 ; 0 ; Το επάνω </t>
  </si>
  <si>
    <t>Άθροισμα</t>
  </si>
  <si>
    <t>Αποτέλεσμα:</t>
  </si>
  <si>
    <t>Σημειωματάριο Γεωγραφικών μηκών</t>
  </si>
  <si>
    <t>Ο Πολικός Μεσουρανεί</t>
  </si>
  <si>
    <t>Όνομα τοποθεσίας:</t>
  </si>
  <si>
    <t>Γωγραφικό Μήκος:</t>
  </si>
  <si>
    <t>Έτος............</t>
  </si>
  <si>
    <t>Τηλεσκόπιο Αρίσταρχος</t>
  </si>
  <si>
    <t>Μήνας...........</t>
  </si>
  <si>
    <t>Σαρωνίδα</t>
  </si>
  <si>
    <t>Ημέρα.................</t>
  </si>
  <si>
    <t>Απέναντι από νησίδα Πάτροκλος</t>
  </si>
  <si>
    <t>Ώρα................</t>
  </si>
  <si>
    <t>Κιθαιρώνας - καταφύγιο</t>
  </si>
  <si>
    <t xml:space="preserve">Λεπτά.............. </t>
  </si>
  <si>
    <t>Λεύκτρα - Άγιος Μάμας</t>
  </si>
  <si>
    <t>Δευτερόλεπτα</t>
  </si>
  <si>
    <t>Σίφνος</t>
  </si>
  <si>
    <t>Ένδειξη δίσκου θέσης ΟΑ</t>
  </si>
  <si>
    <t>Εδώ μπορείτε  να σημειώνεται ή να διαγράφεται</t>
  </si>
  <si>
    <r>
      <rPr>
        <b/>
        <sz val="11"/>
        <color rgb="FFFF0000"/>
        <rFont val="Times New Roman"/>
        <family val="1"/>
        <charset val="161"/>
      </rPr>
      <t>#</t>
    </r>
    <r>
      <rPr>
        <b/>
        <sz val="11"/>
        <color theme="1"/>
        <rFont val="Times New Roman"/>
        <family val="1"/>
        <charset val="161"/>
      </rPr>
      <t xml:space="preserve"> Προσοχή </t>
    </r>
    <r>
      <rPr>
        <b/>
        <sz val="11"/>
        <color rgb="FFFF0000"/>
        <rFont val="Times New Roman"/>
        <family val="1"/>
        <charset val="161"/>
      </rPr>
      <t>#</t>
    </r>
  </si>
  <si>
    <t>Ο Δείκτης στα λεπτά!</t>
  </si>
  <si>
    <t>τα Γεωγραφικά μήκη που σας ενδιαφέρουν.</t>
  </si>
  <si>
    <t>Το καλοκαίρι</t>
  </si>
  <si>
    <t>Λεπτα</t>
  </si>
  <si>
    <t>Ώρες</t>
  </si>
  <si>
    <r>
      <rPr>
        <sz val="11"/>
        <rFont val="Times New Roman"/>
        <family val="1"/>
        <charset val="161"/>
      </rPr>
      <t>βάζουμε</t>
    </r>
    <r>
      <rPr>
        <b/>
        <sz val="11"/>
        <color rgb="FFFF0000"/>
        <rFont val="Times New Roman"/>
        <family val="1"/>
        <charset val="161"/>
      </rPr>
      <t xml:space="preserve"> </t>
    </r>
    <r>
      <rPr>
        <b/>
        <sz val="11"/>
        <color rgb="FFC00000"/>
        <rFont val="Times New Roman"/>
        <family val="1"/>
        <charset val="161"/>
      </rPr>
      <t>-1 Ώρα!!!</t>
    </r>
  </si>
  <si>
    <t xml:space="preserve">                         Είσοδος Δεδομένων:</t>
  </si>
  <si>
    <t>Γράφουμε κάτω στα λευκά κελιά</t>
  </si>
  <si>
    <t>Βοήθεια ΕΔΩ</t>
  </si>
  <si>
    <t>Ender</t>
  </si>
  <si>
    <t>υπάρχει έστω κι ένα μήνυμα που</t>
  </si>
  <si>
    <r>
      <t xml:space="preserve">αναγνώρισε </t>
    </r>
    <r>
      <rPr>
        <sz val="11"/>
        <color rgb="FFC00000"/>
        <rFont val="Times New Roman"/>
        <family val="1"/>
        <charset val="161"/>
      </rPr>
      <t>Λάθος</t>
    </r>
    <r>
      <rPr>
        <sz val="11"/>
        <color rgb="FF24241A"/>
        <rFont val="Times New Roman"/>
        <family val="1"/>
        <charset val="161"/>
      </rPr>
      <t xml:space="preserve"> στην</t>
    </r>
  </si>
  <si>
    <t xml:space="preserve"> πληκτρολόγηση !</t>
  </si>
  <si>
    <t>Γεω μηκ</t>
  </si>
  <si>
    <t>έτος</t>
  </si>
  <si>
    <t xml:space="preserve">Μήνας </t>
  </si>
  <si>
    <t>ημέρα</t>
  </si>
  <si>
    <t>ώρα</t>
  </si>
  <si>
    <t>λεπτά</t>
  </si>
  <si>
    <t>Γεω μήκος...........</t>
  </si>
  <si>
    <t>αν το επάνω&lt; 13;"" ; "Λάθος δεδομένα στους μήνες"</t>
  </si>
  <si>
    <t>αν το γκρί&gt;12;0;το γκρί</t>
  </si>
  <si>
    <t>αν το επάνω&gt;από το πράσινο; "Λάθος πληκτρολόγηση στις ημέρες";""</t>
  </si>
  <si>
    <t>αν γκρι&gt;look up Πράσινη ; 0 ; Γκρί</t>
  </si>
  <si>
    <t>Μέρες που πέρασαν από την 1 Ιανουαρίου</t>
  </si>
  <si>
    <t>Κυρίως λογισμικό</t>
  </si>
  <si>
    <t>Διαμόρφωση ΟΑ Πολικου</t>
  </si>
  <si>
    <t>είσοδος ΟΑ επόμενου έτους</t>
  </si>
  <si>
    <t>είσοδος ΟΑ τρέχοντος έτους</t>
  </si>
  <si>
    <t>Διαφορά = επόμενο-τρέχον έτος</t>
  </si>
  <si>
    <t>Μέρες που πέρασαν*διαφορά/365</t>
  </si>
  <si>
    <t>ΟΑ Πολικού = το επάνω+ΟΑ τρέχοντος έτους. Αστρική ώρα</t>
  </si>
  <si>
    <t>Μετατροπή του επάνω απο αστρικό σε πολιτικό χρόνο</t>
  </si>
  <si>
    <t>το επάνω*0,065709824/24</t>
  </si>
  <si>
    <t>το μοβ-το επάνω                                        Πολιτική ώρα</t>
  </si>
  <si>
    <t>Αστρικός χρόνος</t>
  </si>
  <si>
    <t>1/365,24222222</t>
  </si>
  <si>
    <t>ώρες</t>
  </si>
  <si>
    <t>Λεπτά</t>
  </si>
  <si>
    <t xml:space="preserve">Ο Πολικός μεσουρανεί την τάδε του μηνός την ώρα </t>
  </si>
  <si>
    <t>στην Νησίδα Στρογγυλή</t>
  </si>
  <si>
    <t>Είσοδος</t>
  </si>
  <si>
    <t>(συντελεστής * ημέρες μήνα)+</t>
  </si>
  <si>
    <t>το επάνω</t>
  </si>
  <si>
    <r>
      <t xml:space="preserve">αν η </t>
    </r>
    <r>
      <rPr>
        <sz val="11"/>
        <color rgb="FF0070C0"/>
        <rFont val="Times New Roman"/>
        <family val="1"/>
        <charset val="161"/>
      </rPr>
      <t>μπλε αν</t>
    </r>
    <r>
      <rPr>
        <sz val="11"/>
        <rFont val="Times New Roman"/>
        <family val="1"/>
        <charset val="161"/>
      </rPr>
      <t>&gt;0;το δίπλα επάνω διαγωνίως;0</t>
    </r>
  </si>
  <si>
    <t>Αθροισμα</t>
  </si>
  <si>
    <t xml:space="preserve">Μέρες που πέρασαν (επάνω χακί) </t>
  </si>
  <si>
    <t>Ημέρα του χρόνου (επάνω πορτοκαλί)</t>
  </si>
  <si>
    <t>(Τό επάνω + ημέρα) -1  Μέρες που πέρασαν</t>
  </si>
  <si>
    <t>look up               Ημέρα του χρόνου</t>
  </si>
  <si>
    <t xml:space="preserve">Μέρες που πέρασαν - Ημέρα του χρόνου </t>
  </si>
  <si>
    <r>
      <t xml:space="preserve">Μηνιαίος συντελεστής αστρικού χρόνου Έξοδος </t>
    </r>
    <r>
      <rPr>
        <sz val="11"/>
        <color rgb="FF0070C0"/>
        <rFont val="Times New Roman"/>
        <family val="1"/>
        <charset val="161"/>
      </rPr>
      <t>Α</t>
    </r>
  </si>
  <si>
    <r>
      <t xml:space="preserve">Μηνιαίος συντελεστής αστρικού χρόνου Έξοδος </t>
    </r>
    <r>
      <rPr>
        <sz val="11"/>
        <color theme="9" tint="-0.249977111117893"/>
        <rFont val="Times New Roman"/>
        <family val="1"/>
        <charset val="161"/>
      </rPr>
      <t>Β</t>
    </r>
  </si>
  <si>
    <r>
      <t xml:space="preserve">το επάνω * έξοδο </t>
    </r>
    <r>
      <rPr>
        <sz val="11"/>
        <color rgb="FF0070C0"/>
        <rFont val="Times New Roman"/>
        <family val="1"/>
        <charset val="161"/>
      </rPr>
      <t>Α</t>
    </r>
  </si>
  <si>
    <r>
      <t xml:space="preserve">το επάνω + έξοδο </t>
    </r>
    <r>
      <rPr>
        <sz val="11"/>
        <color theme="9" tint="-0.249977111117893"/>
        <rFont val="Times New Roman"/>
        <family val="1"/>
        <charset val="161"/>
      </rPr>
      <t>Β</t>
    </r>
  </si>
  <si>
    <t>Μεσουράνηση πολικού την 1 Ιανουαρίου τρέχοντος έτους</t>
  </si>
  <si>
    <t>Μεσουράνηση πολικού την 1 Ιανουαρίου τρέχοντος έτους - το επάνω</t>
  </si>
  <si>
    <t>το επάνω+24</t>
  </si>
  <si>
    <t>αν το γκρί&lt;0;το κίτρινο;τογκρί</t>
  </si>
  <si>
    <t>Μετατροπή του επάνω στο Γεω Μήκος του Τόπου</t>
  </si>
  <si>
    <t>Γεωγραφικό μήκος του Τόπου</t>
  </si>
  <si>
    <r>
      <t xml:space="preserve">Γεωγραφικό μήκος Νησίδας Στρογγυλή: </t>
    </r>
    <r>
      <rPr>
        <sz val="11"/>
        <color rgb="FFFF0000"/>
        <rFont val="Times New Roman"/>
        <family val="1"/>
        <charset val="161"/>
      </rPr>
      <t>30</t>
    </r>
  </si>
  <si>
    <t>μεταβολή</t>
  </si>
  <si>
    <t>Μεσουράνηση στην Στρογγυλή</t>
  </si>
  <si>
    <t>Μεσουράνηση στην Νησίδα Στρογγυλή + μεταβολή ΟΑ</t>
  </si>
  <si>
    <r>
      <rPr>
        <b/>
        <sz val="11"/>
        <color rgb="FF00B050"/>
        <rFont val="Times New Roman"/>
        <family val="1"/>
        <charset val="161"/>
      </rPr>
      <t>Δ=</t>
    </r>
    <r>
      <rPr>
        <sz val="11"/>
        <color theme="1"/>
        <rFont val="Times New Roman"/>
        <family val="1"/>
        <charset val="161"/>
      </rPr>
      <t>Γεω Μήκος Στρογγυλλής - Γεω Μήκος Τόπου</t>
    </r>
  </si>
  <si>
    <t>το επάνω/15</t>
  </si>
  <si>
    <t>το επάνω+ωρα μεσουράνησης στην Στρογγυλή</t>
  </si>
  <si>
    <t>αν το επάνω&gt;24;24;0</t>
  </si>
  <si>
    <t>το κίτρινο - το επάνω</t>
  </si>
  <si>
    <t>Αφαίρεση χρόνου διπλής μεσουράνησης</t>
  </si>
  <si>
    <t>Μεσουράνηση πολικού την 1 Ιανουαρίου τρέχοντος έτους στην Στρογ</t>
  </si>
  <si>
    <t>Μεσουράνηση 1/1 στο γεω μήκος του τόπου</t>
  </si>
  <si>
    <t>αν μεσουράνηση&gt;μεσουράνηση 1/1;1;0</t>
  </si>
  <si>
    <t xml:space="preserve">Μεσουράνηση </t>
  </si>
  <si>
    <t xml:space="preserve"> </t>
  </si>
  <si>
    <t xml:space="preserve">τελική μεσουράνηση= Μεσουράνηση- το επάνω </t>
  </si>
  <si>
    <t>Μεσουράνηση</t>
  </si>
  <si>
    <t>Μετατροπή του επάνω στο σύστημα γραφής Ωρών</t>
  </si>
  <si>
    <t>στον πίνακα 1</t>
  </si>
  <si>
    <t>Πίνακας 1</t>
  </si>
  <si>
    <t>Είσοδος Υποπίνακα 100 έως 10</t>
  </si>
  <si>
    <t>αν το επάνω&lt;10 ; 0 ; Το επάνω</t>
  </si>
  <si>
    <r>
      <t xml:space="preserve">Δέχεται τιμές </t>
    </r>
    <r>
      <rPr>
        <b/>
        <sz val="11"/>
        <color rgb="FFC00000"/>
        <rFont val="Times New Roman"/>
        <family val="1"/>
        <charset val="161"/>
      </rPr>
      <t>100&lt; έως 10</t>
    </r>
  </si>
  <si>
    <t>αν είναι&lt;100 ; ο αριθμός ; 0</t>
  </si>
  <si>
    <t>αν το κάτω διαγωνίως πορτοκαλί = 0 ; Το δίπλα ; 0</t>
  </si>
  <si>
    <t xml:space="preserve">αν το δίπλα&gt;0 ; 90 ; 0 </t>
  </si>
  <si>
    <t>αν είναι&lt;90 ; ο αριθμός ; 0</t>
  </si>
  <si>
    <t xml:space="preserve">αν το δίπλα&gt;0 ; 80 ; 0 </t>
  </si>
  <si>
    <t>αν είναι&lt;80 ; ο αριθμός ; 0</t>
  </si>
  <si>
    <t xml:space="preserve">αν το δίπλα&gt;0 ; 70 ; 0 </t>
  </si>
  <si>
    <t>αν είναι&lt;70 ; ο αριθμός ; 0</t>
  </si>
  <si>
    <t xml:space="preserve">αν το δίπλα&gt;0 ; 60 ; 0 </t>
  </si>
  <si>
    <t>αν είναι&lt;60 ; ο αριθμός ; 0</t>
  </si>
  <si>
    <t xml:space="preserve">αν το δίπλα&gt;0 ; 50 ; 0 </t>
  </si>
  <si>
    <t>αν είναι&lt;50 ; ο αριθμός ; 0</t>
  </si>
  <si>
    <t xml:space="preserve">αν το δίπλα&gt;0 ; 40 ; 0 </t>
  </si>
  <si>
    <t>αν είναι&lt;40 ; ο αριθμός ; 0</t>
  </si>
  <si>
    <t xml:space="preserve">αν το δίπλα&gt;0 ; 30 ; 0 </t>
  </si>
  <si>
    <t>αν είναι&lt;30 ; ο αριθμός ; 0</t>
  </si>
  <si>
    <t xml:space="preserve">αν το δίπλα&gt;0 ; 20 ; 0 </t>
  </si>
  <si>
    <t>αν είναι&lt;20 ; ο αριθμός ; 0</t>
  </si>
  <si>
    <t xml:space="preserve">αν το δίπλα&gt;0 ; 10 ; 0 </t>
  </si>
  <si>
    <t>αν είναι&lt;10 ; ο αριθμός ; 0</t>
  </si>
  <si>
    <t xml:space="preserve">Άθροισμα </t>
  </si>
  <si>
    <t>Το ροζ-γαλάζιο Έξοδος......................................................</t>
  </si>
  <si>
    <t>Είσοδος Υποπίνακα 10 ; Έως 0</t>
  </si>
  <si>
    <t>αν το επάνω&lt;10 ; Το επάνω ; Το επ γκρί</t>
  </si>
  <si>
    <r>
      <t xml:space="preserve">Δέχεται τιμές </t>
    </r>
    <r>
      <rPr>
        <b/>
        <sz val="11"/>
        <color rgb="FFC00000"/>
        <rFont val="Times New Roman"/>
        <family val="1"/>
        <charset val="161"/>
      </rPr>
      <t>10&lt; έως 0</t>
    </r>
  </si>
  <si>
    <t xml:space="preserve">αν το δίπλα&gt;0 ; 9 ; 0 </t>
  </si>
  <si>
    <t xml:space="preserve">     </t>
  </si>
  <si>
    <t>αν είναι&lt;9 ; ο αριθμός ; 0</t>
  </si>
  <si>
    <t xml:space="preserve">αν το δίπλα&gt;0 ; 8 ; 0 </t>
  </si>
  <si>
    <t>αν είναι&lt;8 ; ο αριθμός ; 0</t>
  </si>
  <si>
    <t xml:space="preserve">αν το δίπλα&gt;0 ; 7 ; 0 </t>
  </si>
  <si>
    <t>αν είναι&lt;7 ; ο αριθμός ; 0</t>
  </si>
  <si>
    <t xml:space="preserve">αν το δίπλα&gt;0 ; 6 ; 0 </t>
  </si>
  <si>
    <t>αν είναι&lt;6 ; ο αριθμός ; 0</t>
  </si>
  <si>
    <t xml:space="preserve">αν το δίπλα&gt;0 ; 5 ; 0 </t>
  </si>
  <si>
    <t>αν είναι&lt;5 ; ο αριθμός ; 0</t>
  </si>
  <si>
    <t xml:space="preserve">αν το δίπλα&gt;0 ; 4 ; 0 </t>
  </si>
  <si>
    <t>αν είναι&lt;4 ; ο αριθμός ; 0</t>
  </si>
  <si>
    <t xml:space="preserve">αν το δίπλα&gt;0 ; 3 ; 0 </t>
  </si>
  <si>
    <t>αν είναι&lt;3 ; ο αριθμός ; 0</t>
  </si>
  <si>
    <t xml:space="preserve">αν το δίπλα&gt;0 ; 2 ; 0 </t>
  </si>
  <si>
    <t>αν είναι&lt;2 ; ο αριθμός ; 0</t>
  </si>
  <si>
    <t xml:space="preserve">αν το δίπλα&gt;0 ; 1 ; 0 </t>
  </si>
  <si>
    <t>αν είναι&lt;1 ; ο αριθμός ; 0</t>
  </si>
  <si>
    <t>Δεκαδικός..........................................................................</t>
  </si>
  <si>
    <t xml:space="preserve">Ακέραιος..................................... </t>
  </si>
  <si>
    <t>Λογισμικό εισόδου τιμών</t>
  </si>
  <si>
    <t>Λογισμικό εξόδου</t>
  </si>
  <si>
    <t>Λογισμικό Μοίρες-Ώρες</t>
  </si>
  <si>
    <t xml:space="preserve">Καθαρίζει τις τιμές, και μετατρέπει </t>
  </si>
  <si>
    <t>Ακέραιος</t>
  </si>
  <si>
    <t>Δεκαδικό*60</t>
  </si>
  <si>
    <t>τους αρνητικούς  σε θετικούς</t>
  </si>
  <si>
    <t xml:space="preserve">  Αριθμός -Δεκαδικός  </t>
  </si>
  <si>
    <t>το επάνω στέλνεται στον</t>
  </si>
  <si>
    <t xml:space="preserve">                                        είσοδος</t>
  </si>
  <si>
    <r>
      <t xml:space="preserve">αν η </t>
    </r>
    <r>
      <rPr>
        <sz val="11"/>
        <color rgb="FFFF0000"/>
        <rFont val="Times New Roman"/>
        <family val="1"/>
        <charset val="161"/>
      </rPr>
      <t>Αν=1</t>
    </r>
    <r>
      <rPr>
        <sz val="11"/>
        <color theme="1"/>
        <rFont val="Times New Roman"/>
        <family val="1"/>
        <charset val="161"/>
      </rPr>
      <t xml:space="preserve"> ; Ακέραιος ; 0</t>
    </r>
  </si>
  <si>
    <t>κάτω πίνακα για νεο διαχωρισμό</t>
  </si>
  <si>
    <t>ISNUMBER</t>
  </si>
  <si>
    <t>το επάνω*(-1)</t>
  </si>
  <si>
    <t>το επάνω * 1</t>
  </si>
  <si>
    <r>
      <t xml:space="preserve">αν η </t>
    </r>
    <r>
      <rPr>
        <sz val="11"/>
        <color rgb="FFFF0000"/>
        <rFont val="Times New Roman"/>
        <family val="1"/>
        <charset val="161"/>
      </rPr>
      <t>Αν=1</t>
    </r>
    <r>
      <rPr>
        <sz val="11"/>
        <color theme="1"/>
        <rFont val="Times New Roman"/>
        <family val="1"/>
        <charset val="161"/>
      </rPr>
      <t xml:space="preserve"> ; το επάνω ; Ακέραιος</t>
    </r>
  </si>
  <si>
    <t>αν το επάνω=1; Είσοδος ; 0</t>
  </si>
  <si>
    <t>AN το επάνω &lt;0 ; 1 ;0</t>
  </si>
  <si>
    <t>Δεκαδικός</t>
  </si>
  <si>
    <t>αν το επάνω=1 ; Είσοδος ; 0</t>
  </si>
  <si>
    <r>
      <t xml:space="preserve">αν η </t>
    </r>
    <r>
      <rPr>
        <sz val="11"/>
        <color rgb="FFFF0000"/>
        <rFont val="Times New Roman"/>
        <family val="1"/>
        <charset val="161"/>
      </rPr>
      <t>Αν=1</t>
    </r>
    <r>
      <rPr>
        <sz val="11"/>
        <color theme="1"/>
        <rFont val="Times New Roman"/>
        <family val="1"/>
        <charset val="161"/>
      </rPr>
      <t xml:space="preserve"> ; Δεκαδικός ; 0</t>
    </r>
  </si>
  <si>
    <t>το επάνω * (-1)</t>
  </si>
  <si>
    <t>αν το επάνω=0 ; Είσοδος ; Το επάνω</t>
  </si>
  <si>
    <r>
      <t xml:space="preserve">αν η </t>
    </r>
    <r>
      <rPr>
        <sz val="11"/>
        <color rgb="FFFF0000"/>
        <rFont val="Times New Roman"/>
        <family val="1"/>
        <charset val="161"/>
      </rPr>
      <t>Αν=1</t>
    </r>
    <r>
      <rPr>
        <sz val="11"/>
        <color theme="1"/>
        <rFont val="Times New Roman"/>
        <family val="1"/>
        <charset val="161"/>
      </rPr>
      <t xml:space="preserve"> ; Το επάνω ; Δεκαδικός</t>
    </r>
  </si>
  <si>
    <t xml:space="preserve">                  ΕΞΟΔΟΣ</t>
  </si>
  <si>
    <t xml:space="preserve">. </t>
  </si>
  <si>
    <t>αν το επάνω&gt;100 ; 0 ; το επάνω</t>
  </si>
  <si>
    <t>Είσοδος προγράμματος</t>
  </si>
  <si>
    <t xml:space="preserve">αν ο δεκαδικός&lt;0,000000001 ; 0 ; ο αριθμός </t>
  </si>
  <si>
    <t xml:space="preserve">αν το επάνω&gt;0,999999999 ; 0 ; Το επάνω </t>
  </si>
  <si>
    <t>Μοίρες-Ώρες = ο ακέραιος του</t>
  </si>
  <si>
    <t xml:space="preserve">      ΕΞΟΔΟΣ</t>
  </si>
  <si>
    <t>επάνω πίνακα</t>
  </si>
  <si>
    <t>Λεπτά = ο ακέραιος αυτου</t>
  </si>
  <si>
    <t xml:space="preserve">του πίνακα </t>
  </si>
  <si>
    <t>Ώρες - Μοίρες</t>
  </si>
  <si>
    <t>Δευτερόλεπτα= ο δεκαδικός</t>
  </si>
  <si>
    <t>αυτού του πίνακα * 60</t>
  </si>
  <si>
    <t>Ημέρα</t>
  </si>
  <si>
    <t>Μεσουράνηση στην Στρογγυλή - μεταβολή</t>
  </si>
  <si>
    <t>Ημέρα του μήνα</t>
  </si>
  <si>
    <t>αν μέρες που πέρασα&lt;0;0;το επάνω</t>
  </si>
  <si>
    <t>έξοδος......................</t>
  </si>
  <si>
    <t>έξοδος</t>
  </si>
  <si>
    <t>αν το επάνω = 1 ; 0,065501792(συντελεστής Νοεμβρίου) ; 0</t>
  </si>
  <si>
    <t>Ένδειξη δίσκου θέσης Ορθής Αναφοράς.</t>
  </si>
  <si>
    <t>Ώρα μεσουράνησης (το επάνω χακί κελί)</t>
  </si>
  <si>
    <t>Ώρα παρατήρησης</t>
  </si>
  <si>
    <t xml:space="preserve">                             Ώρα.................................................</t>
  </si>
  <si>
    <t xml:space="preserve">                            Λεπτά............................................</t>
  </si>
  <si>
    <t>Μετατροπή των δύο επάνω στο δε καδικό σύστημα</t>
  </si>
  <si>
    <t>Λεπτά/60</t>
  </si>
  <si>
    <t>το επάνω + Ώρες = Ώρα παρατήρησης</t>
  </si>
  <si>
    <r>
      <t>Ώρα παρατήρησης – Ώρα μεσουράνησης. (</t>
    </r>
    <r>
      <rPr>
        <b/>
        <sz val="11"/>
        <color rgb="FF24241A"/>
        <rFont val="Times New Roman"/>
        <family val="1"/>
        <charset val="161"/>
      </rPr>
      <t>Δ</t>
    </r>
    <r>
      <rPr>
        <sz val="11"/>
        <color rgb="FF24241A"/>
        <rFont val="Times New Roman"/>
        <family val="1"/>
        <charset val="161"/>
      </rPr>
      <t>ιαφορά)</t>
    </r>
  </si>
  <si>
    <t>24+το επάνω</t>
  </si>
  <si>
    <t>αν το επάνω&gt;24;το γκρί;το επάνω                                    Δ</t>
  </si>
  <si>
    <t>Δ/24*0,065709824</t>
  </si>
  <si>
    <r>
      <t>το επάνω+</t>
    </r>
    <r>
      <rPr>
        <b/>
        <sz val="11"/>
        <color theme="1"/>
        <rFont val="Times New Roman"/>
        <family val="1"/>
        <charset val="161"/>
      </rPr>
      <t>Δ</t>
    </r>
  </si>
  <si>
    <t>Μετατροπή του επάνω στο σύστημα αρίθμησης Ωρών-Μοιρών</t>
  </si>
  <si>
    <t>Πίνακας 2</t>
  </si>
  <si>
    <t>΄Ώρες</t>
  </si>
  <si>
    <t>δευτερόλεπτα</t>
  </si>
  <si>
    <t>ώρες/24*4</t>
  </si>
  <si>
    <t>αν δευτερόλεπτα&gt;30;1;0</t>
  </si>
  <si>
    <t>το επάνω+λεπτά</t>
  </si>
  <si>
    <t>αν το επάνω=60;1;0</t>
  </si>
  <si>
    <t>Ώρες+το επάνω</t>
  </si>
  <si>
    <t>αν το μοβ=60;1;0</t>
  </si>
  <si>
    <t>το επάνω+ώρες</t>
  </si>
  <si>
    <t>αν το επάνω=60;0;το επάνω                Λεπτά..........................................</t>
  </si>
  <si>
    <t>αν το επάνω=24;0;το επάνω                  Ώρες..........................................</t>
  </si>
  <si>
    <t xml:space="preserve">                                               Μήνας.............</t>
  </si>
  <si>
    <t xml:space="preserve">                                               Ημέρα..............</t>
  </si>
  <si>
    <t xml:space="preserve">                                       Γεωγρφικό Μήκος.......</t>
  </si>
  <si>
    <t xml:space="preserve">                                                ΕΤΟΣ...............</t>
  </si>
  <si>
    <t xml:space="preserve">                                               Λεπτά..............</t>
  </si>
  <si>
    <r>
      <t xml:space="preserve">Τα αποτελέσματα είναι </t>
    </r>
    <r>
      <rPr>
        <b/>
        <sz val="11"/>
        <color rgb="FFC00000"/>
        <rFont val="Times New Roman"/>
        <family val="1"/>
        <charset val="161"/>
      </rPr>
      <t>Άκυρα</t>
    </r>
    <r>
      <rPr>
        <sz val="11"/>
        <color rgb="FF24241A"/>
        <rFont val="Times New Roman"/>
        <family val="1"/>
        <charset val="161"/>
      </rPr>
      <t xml:space="preserve"> αν  </t>
    </r>
  </si>
  <si>
    <t xml:space="preserve"> Κουτσοφλέβαρα έτη. Από το 2017 έως και το 2019</t>
  </si>
  <si>
    <r>
      <rPr>
        <sz val="11"/>
        <color rgb="FF7030A0"/>
        <rFont val="Times New Roman"/>
        <family val="1"/>
        <charset val="161"/>
      </rPr>
      <t xml:space="preserve">  </t>
    </r>
    <r>
      <rPr>
        <sz val="11"/>
        <color theme="1"/>
        <rFont val="Times New Roman"/>
        <family val="1"/>
        <charset val="161"/>
      </rPr>
      <t xml:space="preserve">             </t>
    </r>
    <r>
      <rPr>
        <sz val="11"/>
        <color rgb="FF7030A0"/>
        <rFont val="Times New Roman"/>
        <family val="1"/>
        <charset val="161"/>
      </rPr>
      <t>Βοήθεια ΕΔΩ..........</t>
    </r>
    <r>
      <rPr>
        <sz val="11"/>
        <color theme="1"/>
        <rFont val="Times New Roman"/>
        <family val="1"/>
        <charset val="161"/>
      </rPr>
      <t xml:space="preserve"> Ώρα..................</t>
    </r>
  </si>
  <si>
    <t>Γιάννης Παπαδόπουλος</t>
  </si>
  <si>
    <t>Αύγουστος 2017</t>
  </si>
  <si>
    <t>Το παρακάτω είναι ένα λογισμικό που υπολογίζει</t>
  </si>
  <si>
    <t>την μεσουράνηση του πολικού από το έτος</t>
  </si>
  <si>
    <t xml:space="preserve">2017 έως και το έτος 2019. </t>
  </si>
  <si>
    <t>γι' αυτό το ονόμασα "κουτσοφλέβαρα έτη".</t>
  </si>
  <si>
    <t>Οδηγίες:</t>
  </si>
  <si>
    <t xml:space="preserve">Κανένα από αυτά τα έτη δεν είναι δίσεκτα και </t>
  </si>
  <si>
    <t>Επειδή το πρόγραμμα είναι φτιαγμένο από ερασιτέχνη,</t>
  </si>
  <si>
    <t xml:space="preserve">δεν είναι ασφαλισμένο από τυχόν αδεξιότητες που μπορούν </t>
  </si>
  <si>
    <t>να προκληθούν από το ποντίκι και το πληκτρολόγιο.</t>
  </si>
  <si>
    <t xml:space="preserve">Έτσι λοιπόν απαιτείτε πριν την χρήση του προγράμματος να </t>
  </si>
  <si>
    <t xml:space="preserve">κάνετε αντίγραφο. </t>
  </si>
  <si>
    <t>"βάρους" αρχείου. Κάντε αντίγραφο λοιπόν τώρα.</t>
  </si>
  <si>
    <t>Το "Κουτσοφλέβαρα έτη Νυχτερινό" έχει κατάλληλη οθόνη</t>
  </si>
  <si>
    <t xml:space="preserve">Το πρόγραμμα δεν είναι ούτε 45KB οπότε δεν τίθεται θέμα </t>
  </si>
  <si>
    <t xml:space="preserve">1) καλείται και ενεργοποιείται το πρόγραμμα </t>
  </si>
  <si>
    <t>2) στην συνέχεια καλείτε την επιφάνεια εργασίας του</t>
  </si>
  <si>
    <t>υπολογιστή, κάνετε δεξή κλικ στο ποντική και επιλέγεται</t>
  </si>
  <si>
    <t>εξατομίκευση.</t>
  </si>
  <si>
    <t>εργασίας όταν κάνετε τις παρακάτω κινήσεις:</t>
  </si>
  <si>
    <r>
      <t xml:space="preserve">επιλέγεται      </t>
    </r>
    <r>
      <rPr>
        <b/>
        <sz val="11"/>
        <color theme="1"/>
        <rFont val="Times New Roman"/>
        <family val="1"/>
        <charset val="161"/>
      </rPr>
      <t>Με αντιθέσεις#1</t>
    </r>
  </si>
  <si>
    <t>σε μαύρο φόντο με κίτρινα γράμματα και κίτρινες</t>
  </si>
  <si>
    <t xml:space="preserve">διαγραμμίσεις. </t>
  </si>
  <si>
    <t>Τι πληκτρολογούμε:</t>
  </si>
  <si>
    <t>3) Μήνα</t>
  </si>
  <si>
    <t xml:space="preserve">5) Ώρα </t>
  </si>
  <si>
    <t xml:space="preserve">4) Ημέρα </t>
  </si>
  <si>
    <t xml:space="preserve">1) Το έτος </t>
  </si>
  <si>
    <t xml:space="preserve">2) Το γεωγραφικό μήκος του τόπου. </t>
  </si>
  <si>
    <t>6) Λεπτά</t>
  </si>
  <si>
    <t>Το πρόγραμμα δίνει τα παρακάτω αποτελέσματα</t>
  </si>
  <si>
    <t>Αν τώρα καλέσετε το πρόγραμμα, αυτό είναι όλο</t>
  </si>
  <si>
    <t>ημέρα και στον συγκεκριμένο τόπο.</t>
  </si>
  <si>
    <t xml:space="preserve">νέου τύπου πολικές διόπτρες. </t>
  </si>
  <si>
    <t xml:space="preserve"># Το πρόγραμμα δίνει αποτελέσματα μόνο για την </t>
  </si>
  <si>
    <t>Ελληνική επικράτεια!!!!#</t>
  </si>
  <si>
    <t>1)την ακριβή μεσουράνηση του πολικού την συγκεκριμένη</t>
  </si>
  <si>
    <t xml:space="preserve">2) Την ένδειξη του δίσκου θέσης της ορθής αναφοράς </t>
  </si>
  <si>
    <t>την συγκεκριμένη ώρα.</t>
  </si>
  <si>
    <t>Επίσης αυτή είναι και η ένδειξη του χρόνου που βάζουμε στις</t>
  </si>
  <si>
    <t>Πρόσθεση της διαφοράς από την μεταβολή της ΟΑ του πολικού</t>
  </si>
</sst>
</file>

<file path=xl/styles.xml><?xml version="1.0" encoding="utf-8"?>
<styleSheet xmlns="http://schemas.openxmlformats.org/spreadsheetml/2006/main">
  <numFmts count="1">
    <numFmt numFmtId="164" formatCode="0.0"/>
  </numFmts>
  <fonts count="23">
    <font>
      <sz val="11"/>
      <color theme="1"/>
      <name val="Calibri"/>
      <family val="2"/>
      <charset val="161"/>
      <scheme val="minor"/>
    </font>
    <font>
      <sz val="11"/>
      <color theme="1"/>
      <name val="Times New Roman"/>
      <family val="1"/>
      <charset val="161"/>
    </font>
    <font>
      <b/>
      <sz val="11"/>
      <color theme="1"/>
      <name val="Times New Roman"/>
      <family val="1"/>
      <charset val="161"/>
    </font>
    <font>
      <sz val="11"/>
      <color rgb="FFFF0000"/>
      <name val="Times New Roman"/>
      <family val="1"/>
      <charset val="161"/>
    </font>
    <font>
      <sz val="11"/>
      <name val="Times New Roman"/>
      <family val="1"/>
      <charset val="161"/>
    </font>
    <font>
      <sz val="11"/>
      <color rgb="FF00B050"/>
      <name val="Times New Roman"/>
      <family val="1"/>
      <charset val="161"/>
    </font>
    <font>
      <sz val="11"/>
      <color rgb="FF24241A"/>
      <name val="Times New Roman"/>
      <family val="1"/>
      <charset val="161"/>
    </font>
    <font>
      <sz val="11"/>
      <color rgb="FF0070C0"/>
      <name val="Times New Roman"/>
      <family val="1"/>
      <charset val="161"/>
    </font>
    <font>
      <b/>
      <sz val="11"/>
      <color rgb="FFFF0000"/>
      <name val="Times New Roman"/>
      <family val="1"/>
      <charset val="161"/>
    </font>
    <font>
      <b/>
      <sz val="11"/>
      <color rgb="FFC00000"/>
      <name val="Times New Roman"/>
      <family val="1"/>
      <charset val="161"/>
    </font>
    <font>
      <sz val="11"/>
      <color rgb="FFC00000"/>
      <name val="Times New Roman"/>
      <family val="1"/>
      <charset val="161"/>
    </font>
    <font>
      <sz val="11"/>
      <color theme="0"/>
      <name val="Times New Roman"/>
      <family val="1"/>
      <charset val="161"/>
    </font>
    <font>
      <b/>
      <sz val="11"/>
      <color rgb="FF24241A"/>
      <name val="Times New Roman"/>
      <family val="1"/>
      <charset val="161"/>
    </font>
    <font>
      <b/>
      <sz val="9"/>
      <color indexed="81"/>
      <name val="Tahoma"/>
      <family val="2"/>
      <charset val="161"/>
    </font>
    <font>
      <sz val="9"/>
      <color indexed="81"/>
      <name val="Tahoma"/>
      <family val="2"/>
      <charset val="161"/>
    </font>
    <font>
      <sz val="11"/>
      <color theme="9" tint="-0.249977111117893"/>
      <name val="Times New Roman"/>
      <family val="1"/>
      <charset val="161"/>
    </font>
    <font>
      <b/>
      <sz val="11"/>
      <color rgb="FF00B050"/>
      <name val="Times New Roman"/>
      <family val="1"/>
      <charset val="161"/>
    </font>
    <font>
      <b/>
      <sz val="11"/>
      <color theme="0"/>
      <name val="Times New Roman"/>
      <family val="1"/>
      <charset val="161"/>
    </font>
    <font>
      <b/>
      <sz val="11"/>
      <name val="Times New Roman"/>
      <family val="1"/>
      <charset val="161"/>
    </font>
    <font>
      <sz val="11"/>
      <color rgb="FF002060"/>
      <name val="Times New Roman"/>
      <family val="1"/>
      <charset val="161"/>
    </font>
    <font>
      <sz val="11"/>
      <color rgb="FF7030A0"/>
      <name val="Times New Roman"/>
      <family val="1"/>
      <charset val="161"/>
    </font>
    <font>
      <sz val="9"/>
      <color indexed="81"/>
      <name val="Tahoma"/>
      <charset val="1"/>
    </font>
    <font>
      <b/>
      <sz val="9"/>
      <color indexed="81"/>
      <name val="Tahoma"/>
      <charset val="1"/>
    </font>
  </fonts>
  <fills count="19">
    <fill>
      <patternFill patternType="none"/>
    </fill>
    <fill>
      <patternFill patternType="gray125"/>
    </fill>
    <fill>
      <patternFill patternType="solid">
        <fgColor theme="0" tint="-0.14996795556505021"/>
        <bgColor indexed="64"/>
      </patternFill>
    </fill>
    <fill>
      <patternFill patternType="solid">
        <fgColor theme="5" tint="0.59996337778862885"/>
        <bgColor indexed="64"/>
      </patternFill>
    </fill>
    <fill>
      <patternFill patternType="solid">
        <fgColor rgb="FF00B050"/>
        <bgColor indexed="64"/>
      </patternFill>
    </fill>
    <fill>
      <patternFill patternType="solid">
        <fgColor theme="2" tint="-9.9948118533890809E-2"/>
        <bgColor indexed="64"/>
      </patternFill>
    </fill>
    <fill>
      <patternFill patternType="solid">
        <fgColor theme="6" tint="0.79998168889431442"/>
        <bgColor indexed="64"/>
      </patternFill>
    </fill>
    <fill>
      <patternFill patternType="solid">
        <fgColor rgb="FFFF0000"/>
        <bgColor indexed="64"/>
      </patternFill>
    </fill>
    <fill>
      <patternFill patternType="solid">
        <fgColor theme="1"/>
        <bgColor indexed="64"/>
      </patternFill>
    </fill>
    <fill>
      <patternFill patternType="solid">
        <fgColor theme="6" tint="0.39994506668294322"/>
        <bgColor indexed="64"/>
      </patternFill>
    </fill>
    <fill>
      <patternFill patternType="solid">
        <fgColor theme="7" tint="0.59996337778862885"/>
        <bgColor indexed="64"/>
      </patternFill>
    </fill>
    <fill>
      <patternFill patternType="solid">
        <fgColor theme="6" tint="0.59996337778862885"/>
        <bgColor indexed="64"/>
      </patternFill>
    </fill>
    <fill>
      <patternFill patternType="solid">
        <fgColor rgb="FF00B0F0"/>
        <bgColor indexed="64"/>
      </patternFill>
    </fill>
    <fill>
      <patternFill patternType="solid">
        <fgColor theme="9" tint="0.39994506668294322"/>
        <bgColor indexed="64"/>
      </patternFill>
    </fill>
    <fill>
      <patternFill patternType="solid">
        <fgColor rgb="FFFFFF00"/>
        <bgColor indexed="64"/>
      </patternFill>
    </fill>
    <fill>
      <patternFill patternType="solid">
        <fgColor theme="3" tint="0.59996337778862885"/>
        <bgColor indexed="64"/>
      </patternFill>
    </fill>
    <fill>
      <patternFill patternType="solid">
        <fgColor rgb="FF7030A0"/>
        <bgColor indexed="64"/>
      </patternFill>
    </fill>
    <fill>
      <patternFill patternType="solid">
        <fgColor theme="8" tint="0.39994506668294322"/>
        <bgColor indexed="64"/>
      </patternFill>
    </fill>
    <fill>
      <patternFill patternType="solid">
        <fgColor theme="7" tint="0.79998168889431442"/>
        <bgColor indexed="64"/>
      </patternFill>
    </fill>
  </fills>
  <borders count="17">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rgb="FF000000"/>
      </left>
      <right style="medium">
        <color rgb="FF000000"/>
      </right>
      <top style="medium">
        <color rgb="FF000000"/>
      </top>
      <bottom/>
      <diagonal/>
    </border>
    <border>
      <left/>
      <right/>
      <top style="thin">
        <color auto="1"/>
      </top>
      <bottom/>
      <diagonal/>
    </border>
    <border>
      <left/>
      <right/>
      <top/>
      <bottom style="thin">
        <color auto="1"/>
      </bottom>
      <diagonal/>
    </border>
  </borders>
  <cellStyleXfs count="1">
    <xf numFmtId="0" fontId="0" fillId="0" borderId="0"/>
  </cellStyleXfs>
  <cellXfs count="110">
    <xf numFmtId="0" fontId="0" fillId="0" borderId="0" xfId="0"/>
    <xf numFmtId="0" fontId="1" fillId="0" borderId="0" xfId="0" applyFont="1"/>
    <xf numFmtId="0" fontId="2" fillId="0" borderId="0" xfId="0" applyFont="1"/>
    <xf numFmtId="0" fontId="2"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0" xfId="0" applyFont="1" applyBorder="1"/>
    <xf numFmtId="0" fontId="1" fillId="0" borderId="5" xfId="0" applyFont="1" applyBorder="1"/>
    <xf numFmtId="0" fontId="1" fillId="2" borderId="0" xfId="0" applyFont="1" applyFill="1" applyBorder="1"/>
    <xf numFmtId="0" fontId="1" fillId="0" borderId="0" xfId="0" applyFont="1" applyFill="1" applyBorder="1"/>
    <xf numFmtId="0" fontId="1" fillId="3" borderId="0" xfId="0" applyFont="1" applyFill="1" applyBorder="1"/>
    <xf numFmtId="0" fontId="1" fillId="4" borderId="2" xfId="0" applyFont="1" applyFill="1" applyBorder="1"/>
    <xf numFmtId="0" fontId="2" fillId="0" borderId="4" xfId="0" applyFont="1" applyBorder="1"/>
    <xf numFmtId="0" fontId="1" fillId="2" borderId="2" xfId="0" applyFont="1" applyFill="1" applyBorder="1"/>
    <xf numFmtId="0" fontId="1" fillId="0" borderId="4" xfId="0" applyFont="1" applyFill="1" applyBorder="1"/>
    <xf numFmtId="0" fontId="4" fillId="0" borderId="6" xfId="0" applyFont="1" applyFill="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1" fillId="0" borderId="13" xfId="0" applyFont="1" applyBorder="1"/>
    <xf numFmtId="0" fontId="5" fillId="0" borderId="12" xfId="0" applyFont="1" applyBorder="1"/>
    <xf numFmtId="0" fontId="6" fillId="0" borderId="14" xfId="0" applyFont="1" applyBorder="1" applyAlignment="1">
      <alignment vertical="top" wrapText="1"/>
    </xf>
    <xf numFmtId="0" fontId="6" fillId="0" borderId="11" xfId="0" applyFont="1" applyBorder="1" applyAlignment="1">
      <alignment vertical="top" wrapText="1"/>
    </xf>
    <xf numFmtId="0" fontId="6" fillId="0" borderId="12" xfId="0" applyFont="1" applyBorder="1" applyAlignment="1">
      <alignment vertical="top" wrapText="1"/>
    </xf>
    <xf numFmtId="0" fontId="1" fillId="5" borderId="0" xfId="0" applyFont="1" applyFill="1"/>
    <xf numFmtId="0" fontId="2" fillId="5" borderId="0" xfId="0" applyFont="1" applyFill="1"/>
    <xf numFmtId="0" fontId="7" fillId="5" borderId="0" xfId="0" applyFont="1" applyFill="1"/>
    <xf numFmtId="0" fontId="2" fillId="5" borderId="8" xfId="0" applyFont="1" applyFill="1" applyBorder="1"/>
    <xf numFmtId="0" fontId="2" fillId="5" borderId="9" xfId="0" applyFont="1" applyFill="1" applyBorder="1"/>
    <xf numFmtId="0" fontId="2" fillId="5" borderId="10" xfId="0" applyFont="1" applyFill="1" applyBorder="1"/>
    <xf numFmtId="0" fontId="7" fillId="5" borderId="7" xfId="0" applyFont="1" applyFill="1" applyBorder="1"/>
    <xf numFmtId="0" fontId="7" fillId="5" borderId="6" xfId="0" applyFont="1" applyFill="1" applyBorder="1"/>
    <xf numFmtId="0" fontId="1" fillId="5" borderId="1" xfId="0" applyFont="1" applyFill="1" applyBorder="1"/>
    <xf numFmtId="0" fontId="1" fillId="5" borderId="15" xfId="0" applyFont="1" applyFill="1" applyBorder="1"/>
    <xf numFmtId="0" fontId="1" fillId="5" borderId="3" xfId="0" applyFont="1" applyFill="1" applyBorder="1"/>
    <xf numFmtId="0" fontId="5" fillId="6" borderId="8" xfId="0" applyFont="1" applyFill="1" applyBorder="1"/>
    <xf numFmtId="0" fontId="5" fillId="6" borderId="2" xfId="0" applyFont="1" applyFill="1" applyBorder="1"/>
    <xf numFmtId="0" fontId="1" fillId="5" borderId="4" xfId="0" applyFont="1" applyFill="1" applyBorder="1"/>
    <xf numFmtId="0" fontId="1" fillId="5" borderId="0" xfId="0" applyFont="1" applyFill="1" applyBorder="1"/>
    <xf numFmtId="0" fontId="1" fillId="5" borderId="5" xfId="0" applyFont="1" applyFill="1" applyBorder="1"/>
    <xf numFmtId="0" fontId="1" fillId="5" borderId="6" xfId="0" applyFont="1" applyFill="1" applyBorder="1"/>
    <xf numFmtId="0" fontId="1" fillId="5" borderId="16" xfId="0" applyFont="1" applyFill="1" applyBorder="1"/>
    <xf numFmtId="0" fontId="2" fillId="5" borderId="4" xfId="0" applyFont="1" applyFill="1" applyBorder="1"/>
    <xf numFmtId="0" fontId="2" fillId="5" borderId="0" xfId="0" applyFont="1" applyFill="1" applyBorder="1"/>
    <xf numFmtId="0" fontId="1" fillId="7" borderId="0" xfId="0" applyFont="1" applyFill="1" applyBorder="1"/>
    <xf numFmtId="0" fontId="3" fillId="5" borderId="0" xfId="0" applyFont="1" applyFill="1"/>
    <xf numFmtId="0" fontId="2" fillId="5" borderId="2" xfId="0" applyFont="1" applyFill="1" applyBorder="1"/>
    <xf numFmtId="0" fontId="10" fillId="5" borderId="0" xfId="0" applyFont="1" applyFill="1" applyBorder="1"/>
    <xf numFmtId="0" fontId="11" fillId="8" borderId="2" xfId="0" applyFont="1" applyFill="1" applyBorder="1"/>
    <xf numFmtId="0" fontId="6" fillId="5" borderId="0" xfId="0" applyFont="1" applyFill="1"/>
    <xf numFmtId="0" fontId="1" fillId="0" borderId="5" xfId="0" applyFont="1" applyFill="1" applyBorder="1"/>
    <xf numFmtId="0" fontId="1" fillId="0" borderId="9" xfId="0" applyFont="1" applyFill="1" applyBorder="1"/>
    <xf numFmtId="0" fontId="1" fillId="6" borderId="2" xfId="0" applyFont="1" applyFill="1" applyBorder="1"/>
    <xf numFmtId="0" fontId="1" fillId="11" borderId="0" xfId="0" applyFont="1" applyFill="1"/>
    <xf numFmtId="0" fontId="1" fillId="10" borderId="2" xfId="0" applyFont="1" applyFill="1" applyBorder="1"/>
    <xf numFmtId="0" fontId="1" fillId="0" borderId="1" xfId="0" applyFont="1" applyBorder="1"/>
    <xf numFmtId="0" fontId="1" fillId="0" borderId="15" xfId="0" applyFont="1" applyBorder="1"/>
    <xf numFmtId="0" fontId="7" fillId="0" borderId="0" xfId="0" applyFont="1" applyBorder="1"/>
    <xf numFmtId="0" fontId="1" fillId="0" borderId="0" xfId="0" quotePrefix="1" applyFont="1" applyBorder="1"/>
    <xf numFmtId="0" fontId="1" fillId="0" borderId="6" xfId="0" applyFont="1" applyBorder="1"/>
    <xf numFmtId="0" fontId="1" fillId="0" borderId="16" xfId="0" applyFont="1" applyBorder="1"/>
    <xf numFmtId="0" fontId="1" fillId="12" borderId="16" xfId="0" applyFont="1" applyFill="1" applyBorder="1"/>
    <xf numFmtId="0" fontId="1" fillId="13" borderId="16" xfId="0" applyFont="1" applyFill="1" applyBorder="1"/>
    <xf numFmtId="0" fontId="1" fillId="9" borderId="0" xfId="0" applyFont="1" applyFill="1" applyBorder="1"/>
    <xf numFmtId="0" fontId="1" fillId="13" borderId="0" xfId="0" applyFont="1" applyFill="1"/>
    <xf numFmtId="0" fontId="7" fillId="0" borderId="0" xfId="0" applyFont="1"/>
    <xf numFmtId="0" fontId="15" fillId="0" borderId="0" xfId="0" applyFont="1" applyBorder="1"/>
    <xf numFmtId="0" fontId="1" fillId="2" borderId="0" xfId="0" applyFont="1" applyFill="1"/>
    <xf numFmtId="0" fontId="1" fillId="14" borderId="0" xfId="0" applyFont="1" applyFill="1"/>
    <xf numFmtId="0" fontId="3" fillId="0" borderId="2" xfId="0" applyFont="1" applyBorder="1"/>
    <xf numFmtId="0" fontId="3" fillId="0" borderId="0" xfId="0" applyFont="1"/>
    <xf numFmtId="0" fontId="1" fillId="10" borderId="0" xfId="0" applyFont="1" applyFill="1"/>
    <xf numFmtId="0" fontId="1" fillId="11" borderId="2" xfId="0" applyFont="1" applyFill="1" applyBorder="1"/>
    <xf numFmtId="0" fontId="1" fillId="15" borderId="2" xfId="0" applyFont="1" applyFill="1" applyBorder="1"/>
    <xf numFmtId="0" fontId="1" fillId="16" borderId="0" xfId="0" applyFont="1" applyFill="1"/>
    <xf numFmtId="0" fontId="17" fillId="16" borderId="0" xfId="0" applyFont="1" applyFill="1"/>
    <xf numFmtId="0" fontId="1" fillId="0" borderId="0" xfId="0" applyFont="1" applyFill="1"/>
    <xf numFmtId="0" fontId="2" fillId="0" borderId="0" xfId="0" applyFont="1" applyFill="1"/>
    <xf numFmtId="0" fontId="1" fillId="0" borderId="2" xfId="0" applyFont="1" applyFill="1" applyBorder="1"/>
    <xf numFmtId="0" fontId="10" fillId="11" borderId="0" xfId="0" applyFont="1" applyFill="1"/>
    <xf numFmtId="0" fontId="1" fillId="3" borderId="0" xfId="0" applyFont="1" applyFill="1"/>
    <xf numFmtId="0" fontId="1" fillId="12" borderId="0" xfId="0" applyFont="1" applyFill="1"/>
    <xf numFmtId="0" fontId="18" fillId="0" borderId="0" xfId="0" applyFont="1" applyBorder="1"/>
    <xf numFmtId="0" fontId="10" fillId="0" borderId="0" xfId="0" applyFont="1" applyBorder="1"/>
    <xf numFmtId="0" fontId="2" fillId="0" borderId="0" xfId="0" applyFont="1" applyBorder="1"/>
    <xf numFmtId="0" fontId="3" fillId="0" borderId="0" xfId="0" applyFont="1" applyBorder="1"/>
    <xf numFmtId="0" fontId="2" fillId="0" borderId="0" xfId="0" applyFont="1" applyFill="1" applyBorder="1"/>
    <xf numFmtId="0" fontId="8" fillId="17" borderId="16" xfId="0" applyFont="1" applyFill="1" applyBorder="1"/>
    <xf numFmtId="0" fontId="16" fillId="0" borderId="0" xfId="0" applyFont="1"/>
    <xf numFmtId="0" fontId="19" fillId="0" borderId="2" xfId="0" applyFont="1" applyBorder="1"/>
    <xf numFmtId="0" fontId="10" fillId="4" borderId="0" xfId="0" applyFont="1" applyFill="1"/>
    <xf numFmtId="0" fontId="19" fillId="0" borderId="0" xfId="0" applyFont="1"/>
    <xf numFmtId="0" fontId="10" fillId="4" borderId="2" xfId="0" applyFont="1" applyFill="1" applyBorder="1"/>
    <xf numFmtId="0" fontId="6" fillId="0" borderId="0" xfId="0" applyFont="1"/>
    <xf numFmtId="0" fontId="4" fillId="0" borderId="0" xfId="0" applyFont="1" applyFill="1" applyBorder="1"/>
    <xf numFmtId="0" fontId="6" fillId="0" borderId="0" xfId="0" applyFont="1" applyFill="1"/>
    <xf numFmtId="0" fontId="1" fillId="9" borderId="2" xfId="0" applyFont="1" applyFill="1" applyBorder="1"/>
    <xf numFmtId="0" fontId="1" fillId="18" borderId="0" xfId="0" applyFont="1" applyFill="1"/>
    <xf numFmtId="0" fontId="1" fillId="4" borderId="0" xfId="0" applyFont="1" applyFill="1"/>
    <xf numFmtId="0" fontId="1" fillId="5" borderId="11" xfId="0" applyFont="1" applyFill="1" applyBorder="1"/>
    <xf numFmtId="0" fontId="2" fillId="7" borderId="2" xfId="0" applyFont="1" applyFill="1" applyBorder="1"/>
    <xf numFmtId="0" fontId="20" fillId="5" borderId="0" xfId="0" applyFont="1" applyFill="1" applyBorder="1"/>
    <xf numFmtId="0" fontId="7" fillId="5" borderId="16" xfId="0" applyFont="1" applyFill="1" applyBorder="1"/>
    <xf numFmtId="164" fontId="1" fillId="5" borderId="7" xfId="0" applyNumberFormat="1" applyFont="1" applyFill="1" applyBorder="1"/>
    <xf numFmtId="0" fontId="10" fillId="5" borderId="4" xfId="0" applyFont="1" applyFill="1" applyBorder="1"/>
    <xf numFmtId="0" fontId="1" fillId="0" borderId="12" xfId="0" applyFont="1" applyFill="1" applyBorder="1"/>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Z177"/>
  <sheetViews>
    <sheetView tabSelected="1" topLeftCell="C1" zoomScale="140" zoomScaleNormal="140" workbookViewId="0">
      <selection activeCell="H1" sqref="H1"/>
    </sheetView>
  </sheetViews>
  <sheetFormatPr defaultRowHeight="15"/>
  <cols>
    <col min="1" max="2" width="9.140625" style="1"/>
    <col min="3" max="3" width="1.85546875" style="1" customWidth="1"/>
    <col min="4" max="4" width="10.5703125" style="1" customWidth="1"/>
    <col min="5" max="5" width="13.28515625" style="1" customWidth="1"/>
    <col min="6" max="6" width="0.42578125" style="1" customWidth="1"/>
    <col min="7" max="7" width="16.28515625" style="1" customWidth="1"/>
    <col min="8" max="8" width="43.140625" style="1" bestFit="1" customWidth="1"/>
    <col min="9" max="9" width="10.28515625" style="1" customWidth="1"/>
    <col min="10" max="10" width="22.28515625" style="1" customWidth="1"/>
    <col min="11" max="13" width="9.140625" style="1"/>
    <col min="14" max="14" width="27.7109375" style="1" customWidth="1"/>
    <col min="15" max="15" width="9.140625" style="1"/>
    <col min="16" max="16" width="24.85546875" style="1" customWidth="1"/>
    <col min="17" max="17" width="9.140625" style="1"/>
    <col min="18" max="18" width="16.140625" style="1" customWidth="1"/>
    <col min="19" max="19" width="43.5703125" style="1" customWidth="1"/>
    <col min="20" max="20" width="40.7109375" style="1" customWidth="1"/>
    <col min="21" max="21" width="29.42578125" style="1" bestFit="1" customWidth="1"/>
    <col min="22" max="22" width="14.28515625" style="1" customWidth="1"/>
    <col min="23" max="23" width="9.140625" style="1"/>
    <col min="24" max="24" width="45.5703125" style="1" customWidth="1"/>
    <col min="25" max="25" width="11.28515625" style="1" bestFit="1" customWidth="1"/>
    <col min="26" max="27" width="9.140625" style="1"/>
    <col min="28" max="28" width="59.7109375" style="1" customWidth="1"/>
    <col min="29" max="29" width="13.140625" style="1" customWidth="1"/>
    <col min="30" max="30" width="9.140625" style="1"/>
    <col min="31" max="31" width="13.28515625" style="1" customWidth="1"/>
    <col min="32" max="33" width="9.140625" style="1"/>
    <col min="34" max="34" width="3.42578125" style="1" customWidth="1"/>
    <col min="35" max="35" width="14.5703125" style="1" customWidth="1"/>
    <col min="36" max="36" width="33" style="1" customWidth="1"/>
    <col min="37" max="37" width="9.140625" style="1"/>
    <col min="38" max="38" width="45.140625" style="1" customWidth="1"/>
    <col min="39" max="39" width="9.140625" style="1"/>
    <col min="40" max="40" width="27.5703125" style="1" customWidth="1"/>
    <col min="41" max="41" width="9.140625" style="1"/>
    <col min="42" max="42" width="3.42578125" style="1" customWidth="1"/>
    <col min="43" max="208" width="9.140625" style="1"/>
  </cols>
  <sheetData>
    <row r="1" spans="8:42">
      <c r="H1" s="1" t="s">
        <v>335</v>
      </c>
    </row>
    <row r="2" spans="8:42">
      <c r="H2" s="1" t="s">
        <v>334</v>
      </c>
    </row>
    <row r="4" spans="8:42">
      <c r="H4" s="1" t="s">
        <v>336</v>
      </c>
    </row>
    <row r="5" spans="8:42">
      <c r="H5" s="1" t="s">
        <v>337</v>
      </c>
    </row>
    <row r="6" spans="8:42">
      <c r="H6" s="1" t="s">
        <v>338</v>
      </c>
    </row>
    <row r="7" spans="8:42">
      <c r="H7" s="1" t="s">
        <v>341</v>
      </c>
    </row>
    <row r="8" spans="8:42">
      <c r="H8" s="1" t="s">
        <v>339</v>
      </c>
    </row>
    <row r="9" spans="8:42">
      <c r="H9" s="2" t="s">
        <v>340</v>
      </c>
    </row>
    <row r="10" spans="8:42">
      <c r="H10" s="1" t="s">
        <v>342</v>
      </c>
      <c r="T10" s="1" t="s">
        <v>60</v>
      </c>
      <c r="X10" s="2" t="s">
        <v>0</v>
      </c>
      <c r="AB10" s="2" t="s">
        <v>150</v>
      </c>
      <c r="AH10" s="78"/>
      <c r="AI10" s="79" t="s">
        <v>205</v>
      </c>
      <c r="AJ10" s="78"/>
      <c r="AK10" s="78"/>
      <c r="AL10" s="78"/>
      <c r="AM10" s="78"/>
      <c r="AN10" s="78"/>
      <c r="AO10" s="78"/>
      <c r="AP10" s="78"/>
    </row>
    <row r="11" spans="8:42">
      <c r="H11" s="1" t="s">
        <v>343</v>
      </c>
      <c r="R11" s="18" t="s">
        <v>48</v>
      </c>
      <c r="S11" s="19" t="s">
        <v>48</v>
      </c>
      <c r="T11" s="20" t="s">
        <v>49</v>
      </c>
      <c r="U11" s="21" t="s">
        <v>50</v>
      </c>
      <c r="V11" s="4" t="s">
        <v>51</v>
      </c>
      <c r="X11" s="3" t="s">
        <v>1</v>
      </c>
      <c r="Y11" s="4">
        <f>I77</f>
        <v>2017</v>
      </c>
      <c r="Z11" s="5"/>
      <c r="AH11" s="78"/>
      <c r="AI11" s="80"/>
      <c r="AJ11" s="81" t="s">
        <v>206</v>
      </c>
      <c r="AK11" s="82">
        <f>AK49</f>
        <v>7.3524536613782621</v>
      </c>
      <c r="AL11" s="80"/>
      <c r="AM11" s="80"/>
      <c r="AN11" s="80"/>
      <c r="AO11" s="80"/>
      <c r="AP11" s="78"/>
    </row>
    <row r="12" spans="8:42">
      <c r="H12" s="1" t="s">
        <v>344</v>
      </c>
      <c r="R12" s="6">
        <v>2016</v>
      </c>
      <c r="S12" s="7">
        <v>2016</v>
      </c>
      <c r="T12" s="22" t="s">
        <v>54</v>
      </c>
      <c r="U12" s="21"/>
      <c r="V12" s="8"/>
      <c r="X12" s="6" t="s">
        <v>2</v>
      </c>
      <c r="Y12" s="7">
        <v>2020</v>
      </c>
      <c r="Z12" s="8"/>
      <c r="AB12" s="2" t="s">
        <v>160</v>
      </c>
      <c r="AH12" s="78"/>
      <c r="AI12" s="57"/>
      <c r="AJ12" s="57" t="s">
        <v>207</v>
      </c>
      <c r="AK12" s="76">
        <f>IF(AK11&lt;10,0,AK11)</f>
        <v>0</v>
      </c>
      <c r="AL12" s="83" t="s">
        <v>208</v>
      </c>
      <c r="AM12" s="57"/>
      <c r="AN12" s="57"/>
      <c r="AO12" s="57"/>
      <c r="AP12" s="78"/>
    </row>
    <row r="13" spans="8:42">
      <c r="H13" s="1" t="s">
        <v>345</v>
      </c>
      <c r="R13" s="22">
        <v>2017</v>
      </c>
      <c r="S13" s="22">
        <v>2017</v>
      </c>
      <c r="T13" s="109">
        <v>2.8821388889000001</v>
      </c>
      <c r="U13" s="109">
        <v>2.8821388890000001</v>
      </c>
      <c r="V13" s="109">
        <v>20.1361111111</v>
      </c>
      <c r="X13" s="6" t="s">
        <v>3</v>
      </c>
      <c r="Y13" s="7">
        <f>IF(Y12&lt;2017,0,Y12)</f>
        <v>2020</v>
      </c>
      <c r="Z13" s="8"/>
      <c r="AB13" s="1" t="s">
        <v>161</v>
      </c>
      <c r="AC13" s="1">
        <f>1/365.242222222</f>
        <v>2.7379090892514176E-3</v>
      </c>
      <c r="AH13" s="78"/>
      <c r="AJ13" s="1" t="s">
        <v>209</v>
      </c>
      <c r="AK13" s="68">
        <f>IF(AK12&lt;100,AK12,0)</f>
        <v>0</v>
      </c>
      <c r="AL13" s="1" t="s">
        <v>210</v>
      </c>
      <c r="AM13" s="84">
        <f t="shared" ref="AM13:AM21" si="0">IF(AK14=0,AK13,0)</f>
        <v>0</v>
      </c>
      <c r="AN13" s="1" t="s">
        <v>211</v>
      </c>
      <c r="AO13" s="85">
        <f>IF(AM13&gt;0,90,0)</f>
        <v>0</v>
      </c>
      <c r="AP13" s="78"/>
    </row>
    <row r="14" spans="8:42">
      <c r="H14" s="1" t="s">
        <v>346</v>
      </c>
      <c r="R14" s="22">
        <v>2018</v>
      </c>
      <c r="S14" s="22">
        <v>2018</v>
      </c>
      <c r="T14" s="109">
        <f>U13</f>
        <v>2.8821388890000001</v>
      </c>
      <c r="U14" s="109">
        <v>2.8821388890000001</v>
      </c>
      <c r="V14" s="109">
        <v>20.169444444</v>
      </c>
      <c r="X14" s="6" t="s">
        <v>4</v>
      </c>
      <c r="Y14" s="7">
        <f>IF(Y13=0,"a",Y13)</f>
        <v>2020</v>
      </c>
      <c r="Z14" s="8"/>
      <c r="AB14" s="1" t="s">
        <v>162</v>
      </c>
      <c r="AC14" s="1">
        <f>AC13*24</f>
        <v>6.5709818142034027E-2</v>
      </c>
      <c r="AH14" s="78"/>
      <c r="AJ14" s="1" t="s">
        <v>212</v>
      </c>
      <c r="AK14" s="68">
        <f>IF(AK12&lt;90,AK12,0)</f>
        <v>0</v>
      </c>
      <c r="AL14" s="1" t="s">
        <v>210</v>
      </c>
      <c r="AM14" s="84">
        <f t="shared" si="0"/>
        <v>0</v>
      </c>
      <c r="AN14" s="1" t="s">
        <v>213</v>
      </c>
      <c r="AO14" s="85">
        <f>IF(AM14&gt;0,80,0)</f>
        <v>0</v>
      </c>
      <c r="AP14" s="78"/>
    </row>
    <row r="15" spans="8:42">
      <c r="H15" s="1" t="s">
        <v>349</v>
      </c>
      <c r="R15" s="22">
        <v>2019</v>
      </c>
      <c r="S15" s="22">
        <v>2019</v>
      </c>
      <c r="T15" s="109">
        <f>U14</f>
        <v>2.8821388890000001</v>
      </c>
      <c r="U15" s="109">
        <v>2.8821388890000001</v>
      </c>
      <c r="V15" s="109">
        <v>20.204166666999999</v>
      </c>
      <c r="X15" s="6" t="s">
        <v>5</v>
      </c>
      <c r="Y15" s="7" t="b">
        <f>ISNUMBER(Y14)</f>
        <v>1</v>
      </c>
      <c r="Z15" s="8"/>
      <c r="AB15" s="1" t="s">
        <v>163</v>
      </c>
      <c r="AC15" s="1">
        <f>AC14*60</f>
        <v>3.9425890885220416</v>
      </c>
      <c r="AH15" s="78"/>
      <c r="AJ15" s="1" t="s">
        <v>214</v>
      </c>
      <c r="AK15" s="68">
        <f>IF(AK12&lt;80,AK12,0)</f>
        <v>0</v>
      </c>
      <c r="AL15" s="1" t="s">
        <v>210</v>
      </c>
      <c r="AM15" s="84">
        <f t="shared" si="0"/>
        <v>0</v>
      </c>
      <c r="AN15" s="1" t="s">
        <v>215</v>
      </c>
      <c r="AO15" s="85">
        <f>IF(AM15&gt;0,70,0)</f>
        <v>0</v>
      </c>
      <c r="AP15" s="78"/>
    </row>
    <row r="16" spans="8:42">
      <c r="H16" s="1" t="s">
        <v>347</v>
      </c>
      <c r="R16" s="22">
        <v>2020</v>
      </c>
      <c r="S16" s="22">
        <v>2020</v>
      </c>
      <c r="T16" s="22" t="s">
        <v>52</v>
      </c>
      <c r="U16" s="22" t="s">
        <v>53</v>
      </c>
      <c r="V16" s="22"/>
      <c r="X16" s="6" t="s">
        <v>6</v>
      </c>
      <c r="Y16" s="7">
        <f>Y15*1</f>
        <v>1</v>
      </c>
      <c r="Z16" s="8"/>
      <c r="AH16" s="78"/>
      <c r="AJ16" s="1" t="s">
        <v>216</v>
      </c>
      <c r="AK16" s="68">
        <f>IF(AK12&lt;70,AK12,0)</f>
        <v>0</v>
      </c>
      <c r="AL16" s="1" t="s">
        <v>210</v>
      </c>
      <c r="AM16" s="84">
        <f t="shared" si="0"/>
        <v>0</v>
      </c>
      <c r="AN16" s="1" t="s">
        <v>217</v>
      </c>
      <c r="AO16" s="85">
        <f>IF(AM16&gt;0,60,0)</f>
        <v>0</v>
      </c>
      <c r="AP16" s="78"/>
    </row>
    <row r="17" spans="8:42">
      <c r="R17" s="22">
        <v>2021</v>
      </c>
      <c r="S17" s="22">
        <v>2021</v>
      </c>
      <c r="T17" s="22" t="s">
        <v>54</v>
      </c>
      <c r="U17" s="22"/>
      <c r="V17" s="22"/>
      <c r="X17" s="6" t="s">
        <v>7</v>
      </c>
      <c r="Y17" s="9">
        <f>IF(Y16=1,Y11,"α")</f>
        <v>2017</v>
      </c>
      <c r="Z17" s="8"/>
      <c r="AB17" s="2" t="s">
        <v>149</v>
      </c>
      <c r="AH17" s="78"/>
      <c r="AJ17" s="1" t="s">
        <v>218</v>
      </c>
      <c r="AK17" s="68">
        <f>IF(AK12&lt;60,AK12,0)</f>
        <v>0</v>
      </c>
      <c r="AL17" s="1" t="s">
        <v>210</v>
      </c>
      <c r="AM17" s="84">
        <f t="shared" si="0"/>
        <v>0</v>
      </c>
      <c r="AN17" s="1" t="s">
        <v>219</v>
      </c>
      <c r="AO17" s="85">
        <f>IF(AM17&gt;0,50,0)</f>
        <v>0</v>
      </c>
      <c r="AP17" s="78"/>
    </row>
    <row r="18" spans="8:42">
      <c r="H18" s="1" t="s">
        <v>348</v>
      </c>
      <c r="R18" s="22">
        <v>2022</v>
      </c>
      <c r="S18" s="22">
        <v>2022</v>
      </c>
      <c r="T18" s="22" t="s">
        <v>54</v>
      </c>
      <c r="U18" s="22"/>
      <c r="V18" s="22"/>
      <c r="X18" s="6" t="s">
        <v>8</v>
      </c>
      <c r="Y18" s="7">
        <f>LOOKUP(Y17,R12:R27,S12:S27)</f>
        <v>2017</v>
      </c>
      <c r="Z18" s="8"/>
      <c r="AB18" s="1" t="s">
        <v>62</v>
      </c>
      <c r="AC18" s="4">
        <f>Y49</f>
        <v>7</v>
      </c>
      <c r="AH18" s="78"/>
      <c r="AJ18" s="1" t="s">
        <v>220</v>
      </c>
      <c r="AK18" s="68">
        <f>IF(AK12&lt;50,AK12,0)</f>
        <v>0</v>
      </c>
      <c r="AL18" s="1" t="s">
        <v>210</v>
      </c>
      <c r="AM18" s="84">
        <f t="shared" si="0"/>
        <v>0</v>
      </c>
      <c r="AN18" s="1" t="s">
        <v>221</v>
      </c>
      <c r="AO18" s="85">
        <f>IF(AM18&gt;0,40,0)</f>
        <v>0</v>
      </c>
      <c r="AP18" s="78"/>
    </row>
    <row r="19" spans="8:42">
      <c r="H19" s="1" t="s">
        <v>354</v>
      </c>
      <c r="R19" s="22">
        <v>2023</v>
      </c>
      <c r="S19" s="22">
        <v>2023</v>
      </c>
      <c r="T19" s="22" t="s">
        <v>54</v>
      </c>
      <c r="U19" s="22"/>
      <c r="V19" s="22"/>
      <c r="X19" s="6" t="s">
        <v>9</v>
      </c>
      <c r="Y19" s="7">
        <f>IF(Y18=Y17,Y18,"α")</f>
        <v>2017</v>
      </c>
      <c r="Z19" s="8"/>
      <c r="AB19" s="1" t="s">
        <v>141</v>
      </c>
      <c r="AC19" s="4">
        <f>Y57</f>
        <v>21</v>
      </c>
      <c r="AH19" s="78"/>
      <c r="AJ19" s="1" t="s">
        <v>222</v>
      </c>
      <c r="AK19" s="68">
        <f>IF(AK12&lt;40,AK12,0)</f>
        <v>0</v>
      </c>
      <c r="AL19" s="1" t="s">
        <v>210</v>
      </c>
      <c r="AM19" s="84">
        <f t="shared" si="0"/>
        <v>0</v>
      </c>
      <c r="AN19" s="1" t="s">
        <v>223</v>
      </c>
      <c r="AO19" s="85">
        <f>IF(AM19&gt;0,30,0)</f>
        <v>0</v>
      </c>
      <c r="AP19" s="78"/>
    </row>
    <row r="20" spans="8:42">
      <c r="H20" s="1" t="s">
        <v>350</v>
      </c>
      <c r="R20" s="22">
        <v>2024</v>
      </c>
      <c r="S20" s="22">
        <v>2024</v>
      </c>
      <c r="T20" s="22" t="s">
        <v>52</v>
      </c>
      <c r="U20" s="22"/>
      <c r="V20" s="22"/>
      <c r="X20" s="6" t="s">
        <v>10</v>
      </c>
      <c r="Y20" s="7">
        <f>LOOKUP(Y19,S12:S27,T12:T27)</f>
        <v>2.8821388889000001</v>
      </c>
      <c r="Z20" s="8"/>
      <c r="AB20" s="1" t="s">
        <v>174</v>
      </c>
      <c r="AC20" s="68">
        <f>LOOKUP(AC18,R52:R66,U52:U66)</f>
        <v>181</v>
      </c>
      <c r="AH20" s="78"/>
      <c r="AJ20" s="1" t="s">
        <v>224</v>
      </c>
      <c r="AK20" s="68">
        <f>IF(AK12&lt;30,AK12,0)</f>
        <v>0</v>
      </c>
      <c r="AL20" s="1" t="s">
        <v>210</v>
      </c>
      <c r="AM20" s="84">
        <f t="shared" si="0"/>
        <v>0</v>
      </c>
      <c r="AN20" s="1" t="s">
        <v>225</v>
      </c>
      <c r="AO20" s="85">
        <f>IF(AM20&gt;0,20,0)</f>
        <v>0</v>
      </c>
      <c r="AP20" s="78"/>
    </row>
    <row r="21" spans="8:42">
      <c r="H21" s="1" t="s">
        <v>351</v>
      </c>
      <c r="R21" s="22">
        <v>2025</v>
      </c>
      <c r="S21" s="22">
        <v>2025</v>
      </c>
      <c r="T21" s="22" t="s">
        <v>54</v>
      </c>
      <c r="U21" s="22"/>
      <c r="V21" s="22"/>
      <c r="X21" s="6" t="s">
        <v>5</v>
      </c>
      <c r="Y21" s="7" t="b">
        <f>ISNUMBER(Y20)</f>
        <v>1</v>
      </c>
      <c r="Z21" s="8"/>
      <c r="AB21" s="1" t="s">
        <v>173</v>
      </c>
      <c r="AC21" s="67">
        <f>(AC20+AC19)-1</f>
        <v>201</v>
      </c>
      <c r="AH21" s="78"/>
      <c r="AJ21" s="1" t="s">
        <v>226</v>
      </c>
      <c r="AK21" s="68">
        <f>IF(AK12&lt;20,AK12,0)</f>
        <v>0</v>
      </c>
      <c r="AL21" s="1" t="s">
        <v>210</v>
      </c>
      <c r="AM21" s="84">
        <f t="shared" si="0"/>
        <v>0</v>
      </c>
      <c r="AN21" s="1" t="s">
        <v>227</v>
      </c>
      <c r="AO21" s="85">
        <f>IF(AM21&gt;0,10,0)</f>
        <v>0</v>
      </c>
      <c r="AP21" s="78"/>
    </row>
    <row r="22" spans="8:42">
      <c r="H22" s="1" t="s">
        <v>352</v>
      </c>
      <c r="R22" s="22">
        <v>2026</v>
      </c>
      <c r="S22" s="22">
        <v>2026</v>
      </c>
      <c r="T22" s="22" t="s">
        <v>54</v>
      </c>
      <c r="U22" s="22"/>
      <c r="V22" s="22"/>
      <c r="X22" s="6" t="s">
        <v>6</v>
      </c>
      <c r="Y22" s="7">
        <f>Y21*1</f>
        <v>1</v>
      </c>
      <c r="Z22" s="8"/>
      <c r="AH22" s="78"/>
      <c r="AJ22" s="1" t="s">
        <v>228</v>
      </c>
      <c r="AK22" s="68">
        <f>IF(AK12&lt;10,AK12,0)</f>
        <v>0</v>
      </c>
      <c r="AL22" s="1" t="s">
        <v>229</v>
      </c>
      <c r="AM22" s="84">
        <f>AM13+AM14+AM15+AM16+AM17+AM18+AM19+AM20+AM21</f>
        <v>0</v>
      </c>
      <c r="AN22" s="1" t="s">
        <v>229</v>
      </c>
      <c r="AO22" s="85">
        <f>AO13+AO14+AO15+AO16+AO17+AO18+AO19+AO20+AO21</f>
        <v>0</v>
      </c>
      <c r="AP22" s="78"/>
    </row>
    <row r="23" spans="8:42">
      <c r="H23" s="1" t="s">
        <v>353</v>
      </c>
      <c r="R23" s="22">
        <v>2027</v>
      </c>
      <c r="S23" s="22">
        <v>2027</v>
      </c>
      <c r="T23" s="22" t="s">
        <v>54</v>
      </c>
      <c r="U23" s="22"/>
      <c r="V23" s="22"/>
      <c r="X23" s="6"/>
      <c r="Y23" s="10"/>
      <c r="Z23" s="8"/>
      <c r="AB23" s="2" t="s">
        <v>151</v>
      </c>
      <c r="AH23" s="78"/>
      <c r="AL23" s="1" t="s">
        <v>230</v>
      </c>
      <c r="AM23" s="71">
        <f>AM22-AO22</f>
        <v>0</v>
      </c>
      <c r="AP23" s="78"/>
    </row>
    <row r="24" spans="8:42">
      <c r="H24" s="1" t="s">
        <v>355</v>
      </c>
      <c r="R24" s="22">
        <v>2028</v>
      </c>
      <c r="S24" s="22">
        <v>2028</v>
      </c>
      <c r="T24" s="22" t="s">
        <v>52</v>
      </c>
      <c r="U24" s="22"/>
      <c r="V24" s="22"/>
      <c r="X24" s="6" t="s">
        <v>11</v>
      </c>
      <c r="Y24" s="11" t="str">
        <f>IF(Y22=0,Y20,"")</f>
        <v/>
      </c>
      <c r="Z24" s="8"/>
      <c r="AB24" s="1" t="s">
        <v>152</v>
      </c>
      <c r="AC24" s="4">
        <f>Y26</f>
        <v>2.8821388890000001</v>
      </c>
      <c r="AH24" s="78"/>
      <c r="AI24" s="80"/>
      <c r="AJ24" s="80" t="s">
        <v>231</v>
      </c>
      <c r="AK24" s="4">
        <f>AK49</f>
        <v>7.3524536613782621</v>
      </c>
      <c r="AM24" s="80"/>
      <c r="AP24" s="78"/>
    </row>
    <row r="25" spans="8:42">
      <c r="H25" s="1" t="s">
        <v>366</v>
      </c>
      <c r="R25" s="22">
        <v>2029</v>
      </c>
      <c r="S25" s="22">
        <v>2029</v>
      </c>
      <c r="T25" s="22" t="s">
        <v>54</v>
      </c>
      <c r="U25" s="22"/>
      <c r="V25" s="22"/>
      <c r="X25" s="6" t="s">
        <v>12</v>
      </c>
      <c r="Y25" s="12">
        <f>IF(Y22=1,Y20,0)</f>
        <v>2.8821388889000001</v>
      </c>
      <c r="Z25" s="8"/>
      <c r="AB25" s="1" t="s">
        <v>153</v>
      </c>
      <c r="AC25" s="4">
        <f>Y25</f>
        <v>2.8821388889000001</v>
      </c>
      <c r="AH25" s="78"/>
      <c r="AJ25" s="57" t="s">
        <v>232</v>
      </c>
      <c r="AK25" s="76">
        <f>IF(AK24&lt;10,AK24,AM23)</f>
        <v>7.3524536613782621</v>
      </c>
      <c r="AL25" s="83" t="s">
        <v>233</v>
      </c>
      <c r="AM25" s="57"/>
      <c r="AN25" s="57"/>
      <c r="AO25" s="57"/>
      <c r="AP25" s="78"/>
    </row>
    <row r="26" spans="8:42">
      <c r="H26" s="1" t="s">
        <v>356</v>
      </c>
      <c r="R26" s="22" t="s">
        <v>55</v>
      </c>
      <c r="S26" s="22" t="s">
        <v>55</v>
      </c>
      <c r="T26" s="22" t="s">
        <v>54</v>
      </c>
      <c r="U26" s="22"/>
      <c r="V26" s="22"/>
      <c r="X26" s="6" t="s">
        <v>13</v>
      </c>
      <c r="Y26" s="12">
        <f>LOOKUP(Y17,S12:S27,U12:U27)</f>
        <v>2.8821388890000001</v>
      </c>
      <c r="Z26" s="8"/>
      <c r="AB26" s="1" t="s">
        <v>154</v>
      </c>
      <c r="AC26" s="1">
        <f>AC24-AC25</f>
        <v>1.000000082740371E-10</v>
      </c>
      <c r="AH26" s="78"/>
      <c r="AJ26" s="1" t="s">
        <v>228</v>
      </c>
      <c r="AK26" s="68">
        <f>IF(AK25&lt;10,AK25,0)</f>
        <v>7.3524536613782621</v>
      </c>
      <c r="AL26" s="1" t="s">
        <v>210</v>
      </c>
      <c r="AM26" s="1">
        <f t="shared" ref="AM26:AM34" si="1">IF(AK27=0,AK26,0)</f>
        <v>0</v>
      </c>
      <c r="AN26" s="1" t="s">
        <v>234</v>
      </c>
      <c r="AO26" s="85">
        <f>IF(AM26&gt;0,9,0)</f>
        <v>0</v>
      </c>
      <c r="AP26" s="78"/>
    </row>
    <row r="27" spans="8:42">
      <c r="H27" s="1" t="s">
        <v>357</v>
      </c>
      <c r="R27" s="22" t="s">
        <v>56</v>
      </c>
      <c r="S27" s="22" t="s">
        <v>56</v>
      </c>
      <c r="T27" s="22"/>
      <c r="U27" s="22"/>
      <c r="V27" s="22"/>
      <c r="X27" s="6"/>
      <c r="Y27" s="7"/>
      <c r="Z27" s="8"/>
      <c r="AB27" s="1" t="s">
        <v>155</v>
      </c>
      <c r="AC27" s="57">
        <f>AC21*AC26/365</f>
        <v>5.5068497707072484E-11</v>
      </c>
      <c r="AH27" s="78"/>
      <c r="AI27" s="1" t="s">
        <v>235</v>
      </c>
      <c r="AJ27" s="1" t="s">
        <v>236</v>
      </c>
      <c r="AK27" s="68">
        <f>IF(AK25&lt;9,AK25,0)</f>
        <v>7.3524536613782621</v>
      </c>
      <c r="AL27" s="1" t="s">
        <v>210</v>
      </c>
      <c r="AM27" s="1">
        <f t="shared" si="1"/>
        <v>0</v>
      </c>
      <c r="AN27" s="1" t="s">
        <v>237</v>
      </c>
      <c r="AO27" s="85">
        <f>IF(AM27&gt;0,8,0)</f>
        <v>0</v>
      </c>
      <c r="AP27" s="78"/>
    </row>
    <row r="28" spans="8:42">
      <c r="H28" s="2" t="s">
        <v>358</v>
      </c>
      <c r="R28" s="23" t="s">
        <v>57</v>
      </c>
      <c r="S28" s="23" t="s">
        <v>57</v>
      </c>
      <c r="T28" s="23"/>
      <c r="U28" s="23"/>
      <c r="V28" s="23"/>
      <c r="X28" s="6"/>
      <c r="Y28" s="7"/>
      <c r="Z28" s="8"/>
      <c r="AB28" s="1" t="s">
        <v>156</v>
      </c>
      <c r="AC28" s="58">
        <f>AC27+AC25</f>
        <v>2.8821388889550685</v>
      </c>
      <c r="AH28" s="78"/>
      <c r="AJ28" s="1" t="s">
        <v>238</v>
      </c>
      <c r="AK28" s="68">
        <f>IF(AK25&lt;8,AK25,0)</f>
        <v>7.3524536613782621</v>
      </c>
      <c r="AL28" s="1" t="s">
        <v>210</v>
      </c>
      <c r="AM28" s="1">
        <f t="shared" si="1"/>
        <v>7.3524536613782621</v>
      </c>
      <c r="AN28" s="1" t="s">
        <v>239</v>
      </c>
      <c r="AO28" s="85">
        <f>IF(AM28&gt;0,7,0)</f>
        <v>7</v>
      </c>
      <c r="AP28" s="78"/>
    </row>
    <row r="29" spans="8:42">
      <c r="H29" s="1" t="s">
        <v>362</v>
      </c>
      <c r="X29" s="6"/>
      <c r="Y29" s="7"/>
      <c r="Z29" s="8"/>
      <c r="AB29" s="1" t="s">
        <v>157</v>
      </c>
      <c r="AH29" s="78"/>
      <c r="AJ29" s="1" t="s">
        <v>240</v>
      </c>
      <c r="AK29" s="68">
        <f>IF(AK25&lt;7,AK25,0)</f>
        <v>0</v>
      </c>
      <c r="AL29" s="1" t="s">
        <v>210</v>
      </c>
      <c r="AM29" s="1">
        <f t="shared" si="1"/>
        <v>0</v>
      </c>
      <c r="AN29" s="1" t="s">
        <v>241</v>
      </c>
      <c r="AO29" s="85">
        <f>IF(AM29&gt;0,6,0)</f>
        <v>0</v>
      </c>
      <c r="AP29" s="78"/>
    </row>
    <row r="30" spans="8:42">
      <c r="H30" s="1" t="s">
        <v>363</v>
      </c>
      <c r="T30" s="1" t="s">
        <v>59</v>
      </c>
      <c r="X30" s="13" t="s">
        <v>14</v>
      </c>
      <c r="Y30" s="4">
        <f>I78</f>
        <v>23.907730000000001</v>
      </c>
      <c r="Z30" s="8"/>
      <c r="AB30" s="1" t="s">
        <v>158</v>
      </c>
      <c r="AC30" s="56">
        <f>AC28*AC14</f>
        <v>0.18938482225332157</v>
      </c>
      <c r="AH30" s="78"/>
      <c r="AJ30" s="1" t="s">
        <v>242</v>
      </c>
      <c r="AK30" s="68">
        <f>IF(AK25&lt;6,AK25,0)</f>
        <v>0</v>
      </c>
      <c r="AL30" s="1" t="s">
        <v>210</v>
      </c>
      <c r="AM30" s="1">
        <f t="shared" si="1"/>
        <v>0</v>
      </c>
      <c r="AN30" s="1" t="s">
        <v>243</v>
      </c>
      <c r="AO30" s="85">
        <f>IF(AM30&gt;0,5,0)</f>
        <v>0</v>
      </c>
      <c r="AP30" s="78"/>
    </row>
    <row r="31" spans="8:42">
      <c r="H31" s="1" t="s">
        <v>359</v>
      </c>
      <c r="R31" s="18" t="s">
        <v>48</v>
      </c>
      <c r="S31" s="19" t="s">
        <v>48</v>
      </c>
      <c r="T31" s="20" t="s">
        <v>49</v>
      </c>
      <c r="U31" s="4" t="s">
        <v>50</v>
      </c>
      <c r="X31" s="6" t="s">
        <v>5</v>
      </c>
      <c r="Y31" s="7" t="b">
        <f>ISNUMBER(Y30)</f>
        <v>1</v>
      </c>
      <c r="Z31" s="8"/>
      <c r="AB31" s="1" t="s">
        <v>159</v>
      </c>
      <c r="AC31" s="57">
        <f>AC28-AC30</f>
        <v>2.6927540667017471</v>
      </c>
      <c r="AH31" s="78"/>
      <c r="AJ31" s="1" t="s">
        <v>244</v>
      </c>
      <c r="AK31" s="68">
        <f>IF(AK25&lt;5,AK25,0)</f>
        <v>0</v>
      </c>
      <c r="AL31" s="1" t="s">
        <v>210</v>
      </c>
      <c r="AM31" s="1">
        <f t="shared" si="1"/>
        <v>0</v>
      </c>
      <c r="AN31" s="1" t="s">
        <v>245</v>
      </c>
      <c r="AO31" s="85">
        <f>IF(AM31&gt;0,4,0)</f>
        <v>0</v>
      </c>
      <c r="AP31" s="78"/>
    </row>
    <row r="32" spans="8:42">
      <c r="H32" s="1" t="s">
        <v>361</v>
      </c>
      <c r="R32" s="22">
        <v>2017</v>
      </c>
      <c r="S32" s="22">
        <v>2017</v>
      </c>
      <c r="T32" s="22" t="s">
        <v>58</v>
      </c>
      <c r="U32" s="22"/>
      <c r="X32" s="6" t="s">
        <v>6</v>
      </c>
      <c r="Y32" s="7">
        <f>Y31*1</f>
        <v>1</v>
      </c>
      <c r="Z32" s="8"/>
      <c r="AH32" s="78"/>
      <c r="AJ32" s="1" t="s">
        <v>246</v>
      </c>
      <c r="AK32" s="68">
        <f>IF(AK25&lt;4,AK25,0)</f>
        <v>0</v>
      </c>
      <c r="AL32" s="1" t="s">
        <v>210</v>
      </c>
      <c r="AM32" s="1">
        <f t="shared" si="1"/>
        <v>0</v>
      </c>
      <c r="AN32" s="1" t="s">
        <v>247</v>
      </c>
      <c r="AO32" s="85">
        <f>IF(AM32&gt;0,3,0)</f>
        <v>0</v>
      </c>
      <c r="AP32" s="78"/>
    </row>
    <row r="33" spans="8:42">
      <c r="H33" s="1" t="s">
        <v>360</v>
      </c>
      <c r="R33" s="22">
        <v>2018</v>
      </c>
      <c r="S33" s="22">
        <v>2018</v>
      </c>
      <c r="T33" s="22" t="s">
        <v>58</v>
      </c>
      <c r="U33" s="22"/>
      <c r="X33" s="6" t="s">
        <v>15</v>
      </c>
      <c r="Y33" s="9">
        <f>IF(Y32=1,Y30,0)</f>
        <v>23.907730000000001</v>
      </c>
      <c r="Z33" s="8"/>
      <c r="AB33" s="2" t="s">
        <v>164</v>
      </c>
      <c r="AH33" s="78"/>
      <c r="AJ33" s="1" t="s">
        <v>248</v>
      </c>
      <c r="AK33" s="68">
        <f>IF(AK25&lt;3,AK25,0)</f>
        <v>0</v>
      </c>
      <c r="AL33" s="1" t="s">
        <v>210</v>
      </c>
      <c r="AM33" s="1">
        <f t="shared" si="1"/>
        <v>0</v>
      </c>
      <c r="AN33" s="1" t="s">
        <v>249</v>
      </c>
      <c r="AO33" s="85">
        <f>IF(AM33&gt;0,2,0)</f>
        <v>0</v>
      </c>
      <c r="AP33" s="78"/>
    </row>
    <row r="34" spans="8:42">
      <c r="H34" s="1" t="s">
        <v>364</v>
      </c>
      <c r="R34" s="22">
        <v>2019</v>
      </c>
      <c r="S34" s="22">
        <v>2019</v>
      </c>
      <c r="T34" s="22" t="s">
        <v>58</v>
      </c>
      <c r="U34" s="22"/>
      <c r="X34" s="6" t="s">
        <v>16</v>
      </c>
      <c r="Y34" s="7">
        <f>IF(Y33&lt;19.375,0,Y33)</f>
        <v>23.907730000000001</v>
      </c>
      <c r="Z34" s="8"/>
      <c r="AB34" s="2" t="s">
        <v>165</v>
      </c>
      <c r="AH34" s="78"/>
      <c r="AJ34" s="1" t="s">
        <v>250</v>
      </c>
      <c r="AK34" s="68">
        <f>IF(AK25&lt;2,AK25,0)</f>
        <v>0</v>
      </c>
      <c r="AL34" s="1" t="s">
        <v>210</v>
      </c>
      <c r="AM34" s="1">
        <f t="shared" si="1"/>
        <v>0</v>
      </c>
      <c r="AN34" s="1" t="s">
        <v>251</v>
      </c>
      <c r="AO34" s="85">
        <f>IF(AM34&gt;0,1,0)</f>
        <v>0</v>
      </c>
      <c r="AP34" s="78"/>
    </row>
    <row r="35" spans="8:42">
      <c r="R35" s="24">
        <v>2020</v>
      </c>
      <c r="S35" s="24">
        <v>2020</v>
      </c>
      <c r="T35" s="24">
        <v>2.9503611109999999</v>
      </c>
      <c r="U35" s="24">
        <v>2.9741111170000001</v>
      </c>
      <c r="X35" s="6" t="s">
        <v>17</v>
      </c>
      <c r="Y35" s="14">
        <f>IF(Y34&gt;30,0,Y34)</f>
        <v>23.907730000000001</v>
      </c>
      <c r="Z35" s="8"/>
      <c r="AB35" s="1" t="s">
        <v>180</v>
      </c>
      <c r="AC35" s="4">
        <f>LOOKUP(Y17,S12:S28,V12:V28)</f>
        <v>20.1361111111</v>
      </c>
      <c r="AH35" s="78"/>
      <c r="AJ35" s="1" t="s">
        <v>252</v>
      </c>
      <c r="AK35" s="68">
        <f>IF(AK25&lt;1,AK25,0)</f>
        <v>0</v>
      </c>
      <c r="AL35" s="1" t="s">
        <v>253</v>
      </c>
      <c r="AM35" s="71">
        <f>AK25-AO35</f>
        <v>0.35245366137826206</v>
      </c>
      <c r="AN35" s="1" t="s">
        <v>254</v>
      </c>
      <c r="AO35" s="71">
        <f>AO26+AO27+AO28+AO29+AO30+AO31+AO32+AO33+AO34</f>
        <v>7</v>
      </c>
      <c r="AP35" s="78"/>
    </row>
    <row r="36" spans="8:42">
      <c r="H36" s="2" t="s">
        <v>365</v>
      </c>
      <c r="R36" s="22">
        <v>2021</v>
      </c>
      <c r="S36" s="22">
        <v>2021</v>
      </c>
      <c r="T36" s="22" t="s">
        <v>58</v>
      </c>
      <c r="U36" s="22"/>
      <c r="X36" s="6" t="s">
        <v>18</v>
      </c>
      <c r="Y36" s="11" t="str">
        <f>IF(Y35=0,"Γεωγραφικό Μήκος εκτός ορίου Ελληνικής επικράτειας.","")</f>
        <v/>
      </c>
      <c r="Z36" s="8"/>
      <c r="AB36" s="1" t="s">
        <v>171</v>
      </c>
      <c r="AC36" s="4">
        <f>AC21</f>
        <v>201</v>
      </c>
      <c r="AH36" s="78"/>
      <c r="AP36" s="78"/>
    </row>
    <row r="37" spans="8:42">
      <c r="H37" s="1" t="s">
        <v>371</v>
      </c>
      <c r="R37" s="22">
        <v>2022</v>
      </c>
      <c r="S37" s="22">
        <v>2022</v>
      </c>
      <c r="T37" s="22" t="s">
        <v>58</v>
      </c>
      <c r="U37" s="22"/>
      <c r="X37" s="6" t="s">
        <v>19</v>
      </c>
      <c r="Y37" s="11" t="str">
        <f>IF(Y35=0,"Πέραν των δυνατοτήτων του προγράμματος.","")</f>
        <v/>
      </c>
      <c r="Z37" s="8"/>
      <c r="AB37" s="1" t="s">
        <v>172</v>
      </c>
      <c r="AC37" s="4">
        <f>AC20</f>
        <v>181</v>
      </c>
      <c r="AH37" s="78"/>
      <c r="AJ37" s="86" t="s">
        <v>255</v>
      </c>
      <c r="AK37" s="87"/>
      <c r="AL37" s="2" t="s">
        <v>256</v>
      </c>
      <c r="AN37" s="2" t="s">
        <v>257</v>
      </c>
      <c r="AP37" s="78"/>
    </row>
    <row r="38" spans="8:42">
      <c r="H38" s="1" t="s">
        <v>367</v>
      </c>
      <c r="R38" s="22">
        <v>2023</v>
      </c>
      <c r="S38" s="22">
        <v>2023</v>
      </c>
      <c r="T38" s="22" t="s">
        <v>58</v>
      </c>
      <c r="U38" s="22"/>
      <c r="X38" s="6"/>
      <c r="Y38" s="7"/>
      <c r="Z38" s="8"/>
      <c r="AB38" s="1" t="s">
        <v>295</v>
      </c>
      <c r="AC38" s="4">
        <f>Y57</f>
        <v>21</v>
      </c>
      <c r="AH38" s="78"/>
      <c r="AJ38" s="10" t="s">
        <v>258</v>
      </c>
      <c r="AK38" s="10"/>
      <c r="AL38" s="2" t="s">
        <v>259</v>
      </c>
      <c r="AN38" s="1" t="s">
        <v>260</v>
      </c>
      <c r="AO38" s="71">
        <f>60*AM47</f>
        <v>21.147219682695724</v>
      </c>
      <c r="AP38" s="78"/>
    </row>
    <row r="39" spans="8:42">
      <c r="H39" s="1" t="s">
        <v>372</v>
      </c>
      <c r="R39" s="22">
        <v>2024</v>
      </c>
      <c r="S39" s="22">
        <v>2024</v>
      </c>
      <c r="T39" s="24">
        <v>3.0741388889999999</v>
      </c>
      <c r="U39" s="24">
        <v>3.0721111109999999</v>
      </c>
      <c r="X39" s="13" t="s">
        <v>20</v>
      </c>
      <c r="Y39" s="4">
        <f>I80</f>
        <v>7</v>
      </c>
      <c r="Z39" s="8"/>
      <c r="AB39" s="1" t="s">
        <v>176</v>
      </c>
      <c r="AC39" s="69">
        <f>Q96</f>
        <v>6.5008960000000005E-2</v>
      </c>
      <c r="AH39" s="78"/>
      <c r="AJ39" s="10" t="s">
        <v>261</v>
      </c>
      <c r="AK39" s="7"/>
      <c r="AL39" s="1" t="s">
        <v>262</v>
      </c>
      <c r="AM39" s="1">
        <f>AK49-AM35</f>
        <v>7</v>
      </c>
      <c r="AN39" s="1" t="s">
        <v>263</v>
      </c>
      <c r="AP39" s="78"/>
    </row>
    <row r="40" spans="8:42">
      <c r="H40" s="1" t="s">
        <v>373</v>
      </c>
      <c r="R40" s="22">
        <v>2025</v>
      </c>
      <c r="S40" s="22">
        <v>2025</v>
      </c>
      <c r="T40" s="22" t="s">
        <v>58</v>
      </c>
      <c r="U40" s="22"/>
      <c r="X40" s="6" t="s">
        <v>21</v>
      </c>
      <c r="Y40" s="7">
        <f>IF(Y39=0,14,Y39)</f>
        <v>7</v>
      </c>
      <c r="Z40" s="8"/>
      <c r="AB40" s="1" t="s">
        <v>177</v>
      </c>
      <c r="AC40" s="70">
        <f>T96</f>
        <v>11.889629583000001</v>
      </c>
      <c r="AH40" s="78"/>
      <c r="AJ40" s="88" t="s">
        <v>264</v>
      </c>
      <c r="AK40" s="4">
        <f>AI79</f>
        <v>7.3524536613782621</v>
      </c>
      <c r="AL40" s="1" t="s">
        <v>265</v>
      </c>
      <c r="AM40" s="1">
        <f>IF(AK44=1,AM39,0)</f>
        <v>0</v>
      </c>
      <c r="AN40" s="1" t="s">
        <v>266</v>
      </c>
      <c r="AP40" s="78"/>
    </row>
    <row r="41" spans="8:42">
      <c r="H41" s="1" t="s">
        <v>374</v>
      </c>
      <c r="R41" s="22">
        <v>2026</v>
      </c>
      <c r="S41" s="22">
        <v>2026</v>
      </c>
      <c r="T41" s="22" t="s">
        <v>58</v>
      </c>
      <c r="U41" s="22"/>
      <c r="X41" s="6"/>
      <c r="Y41" s="7">
        <f>Y40</f>
        <v>7</v>
      </c>
      <c r="Z41" s="8"/>
      <c r="AB41" s="1" t="s">
        <v>175</v>
      </c>
      <c r="AC41" s="7">
        <f>AC36-AC37</f>
        <v>20</v>
      </c>
      <c r="AH41" s="78"/>
      <c r="AJ41" s="7" t="s">
        <v>267</v>
      </c>
      <c r="AK41" s="7" t="b">
        <f>ISNUMBER(AK40)</f>
        <v>1</v>
      </c>
      <c r="AL41" s="1" t="s">
        <v>268</v>
      </c>
      <c r="AM41" s="1">
        <f>-1*AM40</f>
        <v>0</v>
      </c>
      <c r="AP41" s="78"/>
    </row>
    <row r="42" spans="8:42">
      <c r="H42" s="1" t="s">
        <v>368</v>
      </c>
      <c r="R42" s="22">
        <v>2027</v>
      </c>
      <c r="S42" s="22">
        <v>2027</v>
      </c>
      <c r="T42" s="22" t="s">
        <v>58</v>
      </c>
      <c r="U42" s="22"/>
      <c r="X42" s="6" t="s">
        <v>5</v>
      </c>
      <c r="Y42" s="7" t="b">
        <f>ISNUMBER(Y41)</f>
        <v>1</v>
      </c>
      <c r="Z42" s="8"/>
      <c r="AB42" s="1" t="s">
        <v>178</v>
      </c>
      <c r="AC42" s="61">
        <f>AC41*AC39</f>
        <v>1.3001792000000001</v>
      </c>
      <c r="AH42" s="78"/>
      <c r="AJ42" s="7" t="s">
        <v>269</v>
      </c>
      <c r="AK42" s="7">
        <f>AK41*1</f>
        <v>1</v>
      </c>
      <c r="AL42" s="1" t="s">
        <v>270</v>
      </c>
      <c r="AM42" s="71">
        <f>IF(AK44=1,AM41,AM39)</f>
        <v>7</v>
      </c>
      <c r="AP42" s="78"/>
    </row>
    <row r="43" spans="8:42">
      <c r="R43" s="22">
        <v>2028</v>
      </c>
      <c r="S43" s="22">
        <v>2028</v>
      </c>
      <c r="T43" s="24">
        <v>3.1486666670000001</v>
      </c>
      <c r="U43" s="24">
        <v>3.1748611109999998</v>
      </c>
      <c r="X43" s="6" t="s">
        <v>6</v>
      </c>
      <c r="Y43" s="7">
        <f>Y42*1</f>
        <v>1</v>
      </c>
      <c r="Z43" s="8"/>
      <c r="AB43" s="1" t="s">
        <v>179</v>
      </c>
      <c r="AC43" s="1">
        <f>AC42+AC40</f>
        <v>13.189808783000002</v>
      </c>
      <c r="AH43" s="78"/>
      <c r="AJ43" s="7" t="s">
        <v>271</v>
      </c>
      <c r="AK43" s="10">
        <f>IF(AK42=1,AK40,0)</f>
        <v>7.3524536613782621</v>
      </c>
      <c r="AL43" s="1" t="s">
        <v>200</v>
      </c>
      <c r="AM43" s="80"/>
      <c r="AP43" s="78"/>
    </row>
    <row r="44" spans="8:42">
      <c r="H44" s="1" t="s">
        <v>369</v>
      </c>
      <c r="R44" s="22">
        <v>2029</v>
      </c>
      <c r="S44" s="22">
        <v>2029</v>
      </c>
      <c r="T44" s="22">
        <v>3.1748611109999998</v>
      </c>
      <c r="U44" s="22"/>
      <c r="X44" s="6" t="s">
        <v>22</v>
      </c>
      <c r="Y44" s="9">
        <f>IF(Y43=0,14,Y41)</f>
        <v>7</v>
      </c>
      <c r="Z44" s="8"/>
      <c r="AB44" s="1" t="s">
        <v>181</v>
      </c>
      <c r="AC44" s="71">
        <f>AC35-AC43</f>
        <v>6.946302328099998</v>
      </c>
      <c r="AH44" s="78"/>
      <c r="AJ44" s="89" t="s">
        <v>272</v>
      </c>
      <c r="AK44" s="89">
        <f>IF(AK43&lt;0,1,0)</f>
        <v>0</v>
      </c>
      <c r="AL44" s="2" t="s">
        <v>273</v>
      </c>
      <c r="AP44" s="78"/>
    </row>
    <row r="45" spans="8:42">
      <c r="H45" s="1" t="s">
        <v>370</v>
      </c>
      <c r="R45" s="22" t="s">
        <v>55</v>
      </c>
      <c r="S45" s="22" t="s">
        <v>55</v>
      </c>
      <c r="T45" s="22" t="s">
        <v>54</v>
      </c>
      <c r="U45" s="22"/>
      <c r="X45" s="6" t="s">
        <v>145</v>
      </c>
      <c r="Y45" s="11" t="str">
        <f>IF(Y44&lt;13,"","Λάθος δεδομένα στους μήνες")</f>
        <v/>
      </c>
      <c r="Z45" s="8"/>
      <c r="AB45" s="1" t="s">
        <v>182</v>
      </c>
      <c r="AC45" s="72">
        <f>AC44+24</f>
        <v>30.946302328099996</v>
      </c>
      <c r="AH45" s="78"/>
      <c r="AJ45" s="7" t="s">
        <v>274</v>
      </c>
      <c r="AK45" s="7">
        <f>IF(AK44=1,AK43,0)</f>
        <v>0</v>
      </c>
      <c r="AL45" s="1" t="s">
        <v>275</v>
      </c>
      <c r="AM45" s="1">
        <f>IF(AK44=1,AM35,0)</f>
        <v>0</v>
      </c>
      <c r="AP45" s="78"/>
    </row>
    <row r="46" spans="8:42">
      <c r="R46" s="22" t="s">
        <v>56</v>
      </c>
      <c r="S46" s="22" t="s">
        <v>56</v>
      </c>
      <c r="T46" s="22"/>
      <c r="U46" s="22"/>
      <c r="X46" s="6" t="s">
        <v>23</v>
      </c>
      <c r="Y46" s="7">
        <f>LOOKUP(Y44,Q52:Q66,R52:R66)</f>
        <v>7</v>
      </c>
      <c r="Z46" s="8"/>
      <c r="AB46" s="1" t="s">
        <v>183</v>
      </c>
      <c r="AC46" s="80">
        <f>IF(AC44&lt;0,AC45,AC44)</f>
        <v>6.946302328099998</v>
      </c>
      <c r="AH46" s="78"/>
      <c r="AJ46" s="7" t="s">
        <v>276</v>
      </c>
      <c r="AK46" s="7">
        <f>AK45*-1</f>
        <v>0</v>
      </c>
      <c r="AL46" s="1" t="s">
        <v>268</v>
      </c>
      <c r="AM46" s="1">
        <f>-1*AM45</f>
        <v>0</v>
      </c>
      <c r="AP46" s="78"/>
    </row>
    <row r="47" spans="8:42">
      <c r="R47" s="23" t="s">
        <v>57</v>
      </c>
      <c r="S47" s="23" t="s">
        <v>57</v>
      </c>
      <c r="T47" s="23"/>
      <c r="U47" s="23"/>
      <c r="X47" s="6" t="s">
        <v>24</v>
      </c>
      <c r="Y47" s="7">
        <f xml:space="preserve"> IF(Y46=Y44,Y46,14)</f>
        <v>7</v>
      </c>
      <c r="Z47" s="8"/>
      <c r="AB47" s="1" t="s">
        <v>296</v>
      </c>
      <c r="AC47" s="57">
        <f>IF(AC41&lt;0,0,AC46)</f>
        <v>6.946302328099998</v>
      </c>
      <c r="AH47" s="78"/>
      <c r="AJ47" s="7" t="s">
        <v>277</v>
      </c>
      <c r="AK47" s="10">
        <f>IF(AK46=0,AK43,AK46)</f>
        <v>7.3524536613782621</v>
      </c>
      <c r="AL47" s="1" t="s">
        <v>278</v>
      </c>
      <c r="AM47" s="71">
        <f>IF(AK44=1,AM46,AM35)</f>
        <v>0.35245366137826206</v>
      </c>
      <c r="AP47" s="78"/>
    </row>
    <row r="48" spans="8:42">
      <c r="X48" s="6" t="s">
        <v>23</v>
      </c>
      <c r="Y48" s="12">
        <f>LOOKUP(Y47,R52:R66,T52:T66)</f>
        <v>31</v>
      </c>
      <c r="Z48" s="8"/>
      <c r="AB48" s="2" t="s">
        <v>375</v>
      </c>
      <c r="AH48" s="78"/>
      <c r="AJ48" s="90" t="s">
        <v>279</v>
      </c>
      <c r="AK48" s="10">
        <f>AK47</f>
        <v>7.3524536613782621</v>
      </c>
      <c r="AL48" s="1" t="s">
        <v>280</v>
      </c>
      <c r="AM48" s="80"/>
      <c r="AP48" s="78"/>
    </row>
    <row r="49" spans="1:42">
      <c r="X49" s="6" t="s">
        <v>146</v>
      </c>
      <c r="Y49" s="14">
        <f>IF(Y44&gt;12,0,Y44)</f>
        <v>7</v>
      </c>
      <c r="Z49" s="8"/>
      <c r="AB49" s="1" t="s">
        <v>187</v>
      </c>
      <c r="AC49" s="4">
        <f>AC27</f>
        <v>5.5068497707072484E-11</v>
      </c>
      <c r="AH49" s="78"/>
      <c r="AJ49" s="1" t="s">
        <v>281</v>
      </c>
      <c r="AK49" s="14">
        <f>IF(AK48&gt;100,0,AK48)</f>
        <v>7.3524536613782621</v>
      </c>
      <c r="AP49" s="78"/>
    </row>
    <row r="50" spans="1:42" ht="15.75" thickBot="1">
      <c r="A50" s="28"/>
      <c r="B50" s="28"/>
      <c r="C50" s="28"/>
      <c r="D50" s="28"/>
      <c r="E50" s="28"/>
      <c r="F50" s="28"/>
      <c r="G50" s="28"/>
      <c r="H50" s="28"/>
      <c r="I50" s="28"/>
      <c r="J50" s="28"/>
      <c r="K50" s="28"/>
      <c r="L50" s="28"/>
      <c r="M50" s="28"/>
      <c r="X50" s="15"/>
      <c r="Y50" s="55"/>
      <c r="Z50" s="54"/>
      <c r="AB50" s="1" t="s">
        <v>188</v>
      </c>
      <c r="AC50" s="4">
        <f>AC47</f>
        <v>6.946302328099998</v>
      </c>
      <c r="AH50" s="78"/>
      <c r="AI50" s="78"/>
      <c r="AJ50" s="78"/>
      <c r="AK50" s="78"/>
      <c r="AL50" s="78"/>
      <c r="AM50" s="78"/>
      <c r="AN50" s="78"/>
      <c r="AO50" s="78"/>
      <c r="AP50" s="78"/>
    </row>
    <row r="51" spans="1:42">
      <c r="A51" s="28"/>
      <c r="B51" s="28"/>
      <c r="C51" s="28"/>
      <c r="D51" s="28"/>
      <c r="E51" s="28"/>
      <c r="F51" s="28"/>
      <c r="G51" s="28"/>
      <c r="H51" s="28"/>
      <c r="I51" s="28"/>
      <c r="J51" s="28"/>
      <c r="K51" s="28"/>
      <c r="L51" s="28"/>
      <c r="M51" s="28"/>
      <c r="R51" s="25" t="s">
        <v>61</v>
      </c>
      <c r="S51" s="25" t="s">
        <v>62</v>
      </c>
      <c r="T51" s="25" t="s">
        <v>63</v>
      </c>
      <c r="U51" s="25" t="s">
        <v>64</v>
      </c>
      <c r="X51" s="13" t="s">
        <v>25</v>
      </c>
      <c r="Y51" s="4">
        <f>I81</f>
        <v>21</v>
      </c>
      <c r="Z51" s="8"/>
      <c r="AB51" s="1" t="s">
        <v>294</v>
      </c>
      <c r="AC51" s="57">
        <f>AC50-AC49</f>
        <v>6.9463023280449292</v>
      </c>
      <c r="AH51" s="78"/>
      <c r="AI51" s="80"/>
      <c r="AJ51" s="81" t="s">
        <v>206</v>
      </c>
      <c r="AK51" s="82">
        <f>AK91</f>
        <v>21.147219682695724</v>
      </c>
      <c r="AL51" s="80"/>
      <c r="AM51" s="80"/>
      <c r="AN51" s="80"/>
      <c r="AO51" s="80"/>
      <c r="AP51" s="78"/>
    </row>
    <row r="52" spans="1:42">
      <c r="A52" s="28"/>
      <c r="B52" s="28"/>
      <c r="C52" s="28"/>
      <c r="D52" s="28"/>
      <c r="E52" s="28"/>
      <c r="F52" s="28"/>
      <c r="G52" s="28"/>
      <c r="H52" s="28"/>
      <c r="I52" s="28"/>
      <c r="J52" s="28"/>
      <c r="K52" s="28"/>
      <c r="L52" s="28"/>
      <c r="M52" s="28"/>
      <c r="Q52" s="21">
        <v>1</v>
      </c>
      <c r="R52" s="21">
        <v>1</v>
      </c>
      <c r="S52" s="26" t="s">
        <v>65</v>
      </c>
      <c r="T52" s="26">
        <v>31</v>
      </c>
      <c r="U52" s="26">
        <v>0</v>
      </c>
      <c r="X52" s="6" t="s">
        <v>5</v>
      </c>
      <c r="Y52" s="7" t="b">
        <f>ISNUMBER(Y51)</f>
        <v>1</v>
      </c>
      <c r="Z52" s="8"/>
      <c r="AH52" s="78"/>
      <c r="AI52" s="57"/>
      <c r="AJ52" s="57" t="s">
        <v>207</v>
      </c>
      <c r="AK52" s="76">
        <f>IF(AK51&lt;10,0,AK51)</f>
        <v>21.147219682695724</v>
      </c>
      <c r="AL52" s="83" t="s">
        <v>208</v>
      </c>
      <c r="AM52" s="57"/>
      <c r="AN52" s="57"/>
      <c r="AO52" s="57"/>
      <c r="AP52" s="78"/>
    </row>
    <row r="53" spans="1:42">
      <c r="A53" s="28"/>
      <c r="B53" s="28"/>
      <c r="C53" s="28"/>
      <c r="D53" s="28"/>
      <c r="E53" s="28"/>
      <c r="F53" s="28"/>
      <c r="G53" s="28"/>
      <c r="H53" s="28"/>
      <c r="I53" s="28"/>
      <c r="J53" s="28"/>
      <c r="K53" s="28"/>
      <c r="L53" s="28"/>
      <c r="M53" s="28"/>
      <c r="Q53" s="22">
        <v>2</v>
      </c>
      <c r="R53" s="22">
        <v>2</v>
      </c>
      <c r="S53" s="27" t="s">
        <v>66</v>
      </c>
      <c r="T53" s="27">
        <v>28</v>
      </c>
      <c r="U53" s="27">
        <v>31</v>
      </c>
      <c r="X53" s="6" t="s">
        <v>6</v>
      </c>
      <c r="Y53" s="7">
        <f>Y52*1</f>
        <v>1</v>
      </c>
      <c r="Z53" s="8"/>
      <c r="AH53" s="78"/>
      <c r="AJ53" s="1" t="s">
        <v>209</v>
      </c>
      <c r="AK53" s="68">
        <f>IF(AK52&lt;100,AK52,0)</f>
        <v>21.147219682695724</v>
      </c>
      <c r="AL53" s="1" t="s">
        <v>210</v>
      </c>
      <c r="AM53" s="84">
        <f t="shared" ref="AM53:AM61" si="2">IF(AK54=0,AK53,0)</f>
        <v>0</v>
      </c>
      <c r="AN53" s="1" t="s">
        <v>211</v>
      </c>
      <c r="AO53" s="85">
        <f>IF(AM53&gt;0,90,0)</f>
        <v>0</v>
      </c>
      <c r="AP53" s="78"/>
    </row>
    <row r="54" spans="1:42">
      <c r="A54" s="28"/>
      <c r="B54" s="28"/>
      <c r="C54" s="28"/>
      <c r="D54" s="28"/>
      <c r="E54" s="28"/>
      <c r="F54" s="28"/>
      <c r="G54" s="28"/>
      <c r="H54" s="28"/>
      <c r="I54" s="28"/>
      <c r="J54" s="28"/>
      <c r="K54" s="28"/>
      <c r="L54" s="28"/>
      <c r="M54" s="28"/>
      <c r="Q54" s="22">
        <v>3</v>
      </c>
      <c r="R54" s="22">
        <v>3</v>
      </c>
      <c r="S54" s="27" t="s">
        <v>67</v>
      </c>
      <c r="T54" s="27">
        <v>31</v>
      </c>
      <c r="U54" s="27">
        <v>59</v>
      </c>
      <c r="X54" s="6" t="s">
        <v>26</v>
      </c>
      <c r="Y54" s="10">
        <f>IF(Y53=1,Y51,100)</f>
        <v>21</v>
      </c>
      <c r="Z54" s="8"/>
      <c r="AB54" s="2" t="s">
        <v>184</v>
      </c>
      <c r="AH54" s="78"/>
      <c r="AJ54" s="1" t="s">
        <v>212</v>
      </c>
      <c r="AK54" s="68">
        <f>IF(AK52&lt;90,AK52,0)</f>
        <v>21.147219682695724</v>
      </c>
      <c r="AL54" s="1" t="s">
        <v>210</v>
      </c>
      <c r="AM54" s="84">
        <f t="shared" si="2"/>
        <v>0</v>
      </c>
      <c r="AN54" s="1" t="s">
        <v>213</v>
      </c>
      <c r="AO54" s="85">
        <f>IF(AM54&gt;0,80,0)</f>
        <v>0</v>
      </c>
      <c r="AP54" s="78"/>
    </row>
    <row r="55" spans="1:42">
      <c r="A55" s="28"/>
      <c r="B55" s="28"/>
      <c r="C55" s="28"/>
      <c r="D55" s="28"/>
      <c r="E55" s="28"/>
      <c r="F55" s="28"/>
      <c r="G55" s="28"/>
      <c r="H55" s="28"/>
      <c r="I55" s="28"/>
      <c r="J55" s="28"/>
      <c r="K55" s="28"/>
      <c r="L55" s="28"/>
      <c r="M55" s="28"/>
      <c r="Q55" s="22">
        <v>4</v>
      </c>
      <c r="R55" s="22">
        <v>4</v>
      </c>
      <c r="S55" s="27" t="s">
        <v>68</v>
      </c>
      <c r="T55" s="27">
        <v>30</v>
      </c>
      <c r="U55" s="27">
        <v>90</v>
      </c>
      <c r="X55" s="6" t="s">
        <v>27</v>
      </c>
      <c r="Y55" s="9">
        <f>IF(Y54=0,100,Y54)</f>
        <v>21</v>
      </c>
      <c r="Z55" s="8"/>
      <c r="AB55" s="1" t="s">
        <v>185</v>
      </c>
      <c r="AC55" s="4">
        <f>Y35</f>
        <v>23.907730000000001</v>
      </c>
      <c r="AH55" s="78"/>
      <c r="AJ55" s="1" t="s">
        <v>214</v>
      </c>
      <c r="AK55" s="68">
        <f>IF(AK52&lt;80,AK52,0)</f>
        <v>21.147219682695724</v>
      </c>
      <c r="AL55" s="1" t="s">
        <v>210</v>
      </c>
      <c r="AM55" s="84">
        <f t="shared" si="2"/>
        <v>0</v>
      </c>
      <c r="AN55" s="1" t="s">
        <v>215</v>
      </c>
      <c r="AO55" s="85">
        <f>IF(AM55&gt;0,70,0)</f>
        <v>0</v>
      </c>
      <c r="AP55" s="78"/>
    </row>
    <row r="56" spans="1:42">
      <c r="A56" s="28"/>
      <c r="B56" s="28"/>
      <c r="C56" s="28"/>
      <c r="D56" s="28"/>
      <c r="E56" s="28"/>
      <c r="F56" s="28"/>
      <c r="G56" s="28"/>
      <c r="H56" s="28"/>
      <c r="I56" s="28"/>
      <c r="J56" s="28"/>
      <c r="K56" s="28"/>
      <c r="L56" s="28"/>
      <c r="M56" s="28"/>
      <c r="Q56" s="22">
        <v>5</v>
      </c>
      <c r="R56" s="22">
        <v>5</v>
      </c>
      <c r="S56" s="27" t="s">
        <v>69</v>
      </c>
      <c r="T56" s="27">
        <v>31</v>
      </c>
      <c r="U56" s="27">
        <v>120</v>
      </c>
      <c r="X56" s="6" t="s">
        <v>147</v>
      </c>
      <c r="Y56" s="11" t="str">
        <f>IF(Y55&gt;Y48,"Λάθος πληκτρολόγηση στις ημέρες","")</f>
        <v/>
      </c>
      <c r="Z56" s="8"/>
      <c r="AB56" s="1" t="s">
        <v>186</v>
      </c>
      <c r="AC56" s="73">
        <v>30</v>
      </c>
      <c r="AH56" s="78"/>
      <c r="AJ56" s="1" t="s">
        <v>216</v>
      </c>
      <c r="AK56" s="68">
        <f>IF(AK52&lt;70,AK52,0)</f>
        <v>21.147219682695724</v>
      </c>
      <c r="AL56" s="1" t="s">
        <v>210</v>
      </c>
      <c r="AM56" s="84">
        <f t="shared" si="2"/>
        <v>0</v>
      </c>
      <c r="AN56" s="1" t="s">
        <v>217</v>
      </c>
      <c r="AO56" s="85">
        <f>IF(AM56&gt;0,60,0)</f>
        <v>0</v>
      </c>
      <c r="AP56" s="78"/>
    </row>
    <row r="57" spans="1:42">
      <c r="A57" s="28"/>
      <c r="B57" s="28"/>
      <c r="C57" s="28"/>
      <c r="D57" s="28"/>
      <c r="E57" s="28"/>
      <c r="F57" s="28"/>
      <c r="G57" s="28"/>
      <c r="H57" s="28"/>
      <c r="I57" s="28"/>
      <c r="J57" s="28"/>
      <c r="K57" s="28"/>
      <c r="L57" s="28"/>
      <c r="M57" s="28"/>
      <c r="Q57" s="22">
        <v>6</v>
      </c>
      <c r="R57" s="22">
        <v>6</v>
      </c>
      <c r="S57" s="27" t="s">
        <v>70</v>
      </c>
      <c r="T57" s="27">
        <v>30</v>
      </c>
      <c r="U57" s="27">
        <v>151</v>
      </c>
      <c r="X57" s="6" t="s">
        <v>148</v>
      </c>
      <c r="Y57" s="14">
        <f>IF(Y55&gt;Y48,0,Y55)</f>
        <v>21</v>
      </c>
      <c r="Z57" s="8"/>
      <c r="AB57" s="1" t="s">
        <v>189</v>
      </c>
      <c r="AC57" s="4">
        <f>AC51</f>
        <v>6.9463023280449292</v>
      </c>
      <c r="AH57" s="78"/>
      <c r="AJ57" s="1" t="s">
        <v>218</v>
      </c>
      <c r="AK57" s="68">
        <f>IF(AK52&lt;60,AK52,0)</f>
        <v>21.147219682695724</v>
      </c>
      <c r="AL57" s="1" t="s">
        <v>210</v>
      </c>
      <c r="AM57" s="84">
        <f t="shared" si="2"/>
        <v>0</v>
      </c>
      <c r="AN57" s="1" t="s">
        <v>219</v>
      </c>
      <c r="AO57" s="85">
        <f>IF(AM57&gt;0,50,0)</f>
        <v>0</v>
      </c>
      <c r="AP57" s="78"/>
    </row>
    <row r="58" spans="1:42">
      <c r="A58" s="28"/>
      <c r="B58" s="28"/>
      <c r="C58" s="28"/>
      <c r="D58" s="28"/>
      <c r="E58" s="28"/>
      <c r="F58" s="28"/>
      <c r="G58" s="28"/>
      <c r="H58" s="28"/>
      <c r="I58" s="28"/>
      <c r="J58" s="28"/>
      <c r="K58" s="28"/>
      <c r="L58" s="28"/>
      <c r="M58" s="28"/>
      <c r="Q58" s="22">
        <v>7</v>
      </c>
      <c r="R58" s="22">
        <v>7</v>
      </c>
      <c r="S58" s="27" t="s">
        <v>71</v>
      </c>
      <c r="T58" s="27">
        <v>31</v>
      </c>
      <c r="U58" s="27">
        <v>181</v>
      </c>
      <c r="X58" s="6"/>
      <c r="Y58" s="7"/>
      <c r="Z58" s="8"/>
      <c r="AB58" s="1" t="s">
        <v>196</v>
      </c>
      <c r="AC58" s="4">
        <f>AC35</f>
        <v>20.1361111111</v>
      </c>
      <c r="AH58" s="78"/>
      <c r="AJ58" s="1" t="s">
        <v>220</v>
      </c>
      <c r="AK58" s="68">
        <f>IF(AK52&lt;50,AK52,0)</f>
        <v>21.147219682695724</v>
      </c>
      <c r="AL58" s="1" t="s">
        <v>210</v>
      </c>
      <c r="AM58" s="84">
        <f t="shared" si="2"/>
        <v>0</v>
      </c>
      <c r="AN58" s="1" t="s">
        <v>221</v>
      </c>
      <c r="AO58" s="85">
        <f>IF(AM58&gt;0,40,0)</f>
        <v>0</v>
      </c>
      <c r="AP58" s="78"/>
    </row>
    <row r="59" spans="1:42">
      <c r="A59" s="28"/>
      <c r="B59" s="28"/>
      <c r="C59" s="28"/>
      <c r="D59" s="28"/>
      <c r="E59" s="28"/>
      <c r="F59" s="28"/>
      <c r="G59" s="28"/>
      <c r="H59" s="28"/>
      <c r="I59" s="28"/>
      <c r="J59" s="28"/>
      <c r="K59" s="28"/>
      <c r="L59" s="28"/>
      <c r="M59" s="28"/>
      <c r="Q59" s="22">
        <v>8</v>
      </c>
      <c r="R59" s="22">
        <v>8</v>
      </c>
      <c r="S59" s="27" t="s">
        <v>72</v>
      </c>
      <c r="T59" s="27">
        <v>31</v>
      </c>
      <c r="U59" s="27">
        <v>212</v>
      </c>
      <c r="X59" s="13" t="s">
        <v>28</v>
      </c>
      <c r="Y59" s="4">
        <f>I82</f>
        <v>20</v>
      </c>
      <c r="Z59" s="8"/>
      <c r="AB59" s="1" t="s">
        <v>190</v>
      </c>
      <c r="AC59" s="1">
        <f>AC56-AC55</f>
        <v>6.0922699999999992</v>
      </c>
      <c r="AH59" s="78"/>
      <c r="AJ59" s="1" t="s">
        <v>222</v>
      </c>
      <c r="AK59" s="68">
        <f>IF(AK52&lt;40,AK52,0)</f>
        <v>21.147219682695724</v>
      </c>
      <c r="AL59" s="1" t="s">
        <v>210</v>
      </c>
      <c r="AM59" s="84">
        <f t="shared" si="2"/>
        <v>0</v>
      </c>
      <c r="AN59" s="1" t="s">
        <v>223</v>
      </c>
      <c r="AO59" s="85">
        <f>IF(AM59&gt;0,30,0)</f>
        <v>0</v>
      </c>
      <c r="AP59" s="78"/>
    </row>
    <row r="60" spans="1:42">
      <c r="A60" s="28"/>
      <c r="B60" s="28"/>
      <c r="C60" s="28"/>
      <c r="D60" s="28"/>
      <c r="E60" s="28"/>
      <c r="F60" s="28"/>
      <c r="G60" s="28"/>
      <c r="H60" s="28"/>
      <c r="I60" s="28"/>
      <c r="J60" s="28"/>
      <c r="K60" s="28"/>
      <c r="L60" s="28"/>
      <c r="M60" s="28"/>
      <c r="Q60" s="22">
        <v>9</v>
      </c>
      <c r="R60" s="22">
        <v>9</v>
      </c>
      <c r="S60" s="27" t="s">
        <v>73</v>
      </c>
      <c r="T60" s="27">
        <v>30</v>
      </c>
      <c r="U60" s="27">
        <v>243</v>
      </c>
      <c r="X60" s="6" t="s">
        <v>5</v>
      </c>
      <c r="Y60" s="7" t="b">
        <f>ISNUMBER(Y59)</f>
        <v>1</v>
      </c>
      <c r="Z60" s="8"/>
      <c r="AB60" s="1" t="s">
        <v>191</v>
      </c>
      <c r="AC60" s="1">
        <f>AC59/15</f>
        <v>0.40615133333333325</v>
      </c>
      <c r="AH60" s="78"/>
      <c r="AJ60" s="1" t="s">
        <v>224</v>
      </c>
      <c r="AK60" s="68">
        <f>IF(AK52&lt;30,AK52,0)</f>
        <v>21.147219682695724</v>
      </c>
      <c r="AL60" s="1" t="s">
        <v>210</v>
      </c>
      <c r="AM60" s="84">
        <f t="shared" si="2"/>
        <v>21.147219682695724</v>
      </c>
      <c r="AN60" s="1" t="s">
        <v>225</v>
      </c>
      <c r="AO60" s="85">
        <f>IF(AM60&gt;0,20,0)</f>
        <v>20</v>
      </c>
      <c r="AP60" s="78"/>
    </row>
    <row r="61" spans="1:42">
      <c r="A61" s="28"/>
      <c r="B61" s="28"/>
      <c r="C61" s="28"/>
      <c r="D61" s="28"/>
      <c r="E61" s="28"/>
      <c r="F61" s="28"/>
      <c r="G61" s="28"/>
      <c r="H61" s="28"/>
      <c r="I61" s="28"/>
      <c r="J61" s="28"/>
      <c r="K61" s="28"/>
      <c r="L61" s="28"/>
      <c r="M61" s="28"/>
      <c r="Q61" s="22">
        <v>10</v>
      </c>
      <c r="R61" s="22">
        <v>10</v>
      </c>
      <c r="S61" s="27" t="s">
        <v>74</v>
      </c>
      <c r="T61" s="27">
        <v>31</v>
      </c>
      <c r="U61" s="27">
        <v>273</v>
      </c>
      <c r="X61" s="6" t="s">
        <v>6</v>
      </c>
      <c r="Y61" s="7">
        <f>Y60*1</f>
        <v>1</v>
      </c>
      <c r="Z61" s="8"/>
      <c r="AB61" s="1" t="s">
        <v>192</v>
      </c>
      <c r="AC61" s="72">
        <f>AC60+AC57</f>
        <v>7.3524536613782621</v>
      </c>
      <c r="AH61" s="78"/>
      <c r="AJ61" s="1" t="s">
        <v>226</v>
      </c>
      <c r="AK61" s="68">
        <f>IF(AK52&lt;20,AK52,0)</f>
        <v>0</v>
      </c>
      <c r="AL61" s="1" t="s">
        <v>210</v>
      </c>
      <c r="AM61" s="84">
        <f t="shared" si="2"/>
        <v>0</v>
      </c>
      <c r="AN61" s="1" t="s">
        <v>227</v>
      </c>
      <c r="AO61" s="85">
        <f>IF(AM61&gt;0,10,0)</f>
        <v>0</v>
      </c>
      <c r="AP61" s="78"/>
    </row>
    <row r="62" spans="1:42">
      <c r="A62" s="28"/>
      <c r="B62" s="28"/>
      <c r="C62" s="28"/>
      <c r="D62" s="28"/>
      <c r="E62" s="28"/>
      <c r="F62" s="28"/>
      <c r="G62" s="28"/>
      <c r="H62" s="28"/>
      <c r="I62" s="28"/>
      <c r="J62" s="28"/>
      <c r="K62" s="28"/>
      <c r="L62" s="28"/>
      <c r="M62" s="28"/>
      <c r="Q62" s="22">
        <v>11</v>
      </c>
      <c r="R62" s="22">
        <v>11</v>
      </c>
      <c r="S62" s="27" t="s">
        <v>75</v>
      </c>
      <c r="T62" s="27">
        <v>30</v>
      </c>
      <c r="U62" s="27">
        <v>304</v>
      </c>
      <c r="X62" s="6" t="s">
        <v>29</v>
      </c>
      <c r="Y62" s="7">
        <f>IF(Y61=1,Y59,0)</f>
        <v>20</v>
      </c>
      <c r="Z62" s="8"/>
      <c r="AB62" s="74" t="s">
        <v>193</v>
      </c>
      <c r="AC62" s="74">
        <f>IF(AC61&gt;24,24,0)</f>
        <v>0</v>
      </c>
      <c r="AH62" s="78"/>
      <c r="AJ62" s="1" t="s">
        <v>228</v>
      </c>
      <c r="AK62" s="68">
        <f>IF(AK52&lt;10,AK52,0)</f>
        <v>0</v>
      </c>
      <c r="AL62" s="1" t="s">
        <v>229</v>
      </c>
      <c r="AM62" s="84">
        <f>AM53+AM54+AM55+AM56+AM57+AM58+AM59+AM60+AM61</f>
        <v>21.147219682695724</v>
      </c>
      <c r="AN62" s="1" t="s">
        <v>229</v>
      </c>
      <c r="AO62" s="85">
        <f>AO53+AO54+AO55+AO56+AO57+AO58+AO59+AO60+AO61</f>
        <v>20</v>
      </c>
      <c r="AP62" s="78"/>
    </row>
    <row r="63" spans="1:42">
      <c r="A63" s="28"/>
      <c r="B63" s="28"/>
      <c r="C63" s="28"/>
      <c r="D63" s="28"/>
      <c r="E63" s="28"/>
      <c r="F63" s="28"/>
      <c r="G63" s="28"/>
      <c r="H63" s="29" t="s">
        <v>332</v>
      </c>
      <c r="I63" s="28"/>
      <c r="J63" s="28"/>
      <c r="K63" s="28"/>
      <c r="L63" s="28"/>
      <c r="M63" s="28"/>
      <c r="Q63" s="22">
        <v>12</v>
      </c>
      <c r="R63" s="22">
        <v>12</v>
      </c>
      <c r="S63" s="27" t="s">
        <v>76</v>
      </c>
      <c r="T63" s="27">
        <v>31</v>
      </c>
      <c r="U63" s="27">
        <v>334</v>
      </c>
      <c r="X63" s="6" t="s">
        <v>30</v>
      </c>
      <c r="Y63" s="10">
        <f>IF(Y60=Z63,1,0)</f>
        <v>0</v>
      </c>
      <c r="Z63" s="8" t="b">
        <v>0</v>
      </c>
      <c r="AB63" s="1" t="s">
        <v>194</v>
      </c>
      <c r="AC63" s="57">
        <f>AC61-AC62</f>
        <v>7.3524536613782621</v>
      </c>
      <c r="AH63" s="78"/>
      <c r="AL63" s="1" t="s">
        <v>230</v>
      </c>
      <c r="AM63" s="71">
        <f>AM62-AO62</f>
        <v>1.1472196826957237</v>
      </c>
      <c r="AP63" s="78"/>
    </row>
    <row r="64" spans="1:42">
      <c r="A64" s="28"/>
      <c r="B64" s="28"/>
      <c r="C64" s="28"/>
      <c r="D64" s="28"/>
      <c r="E64" s="28"/>
      <c r="F64" s="28"/>
      <c r="G64" s="28"/>
      <c r="H64" s="29"/>
      <c r="I64" s="28"/>
      <c r="J64" s="28"/>
      <c r="K64" s="28"/>
      <c r="L64" s="28"/>
      <c r="M64" s="28"/>
      <c r="Q64" s="22"/>
      <c r="R64" s="22"/>
      <c r="S64" s="27"/>
      <c r="T64" s="27"/>
      <c r="U64" s="27"/>
      <c r="X64" s="6"/>
      <c r="Y64" s="10"/>
      <c r="Z64" s="8"/>
      <c r="AB64" s="1" t="s">
        <v>197</v>
      </c>
      <c r="AC64" s="75">
        <f>AC58+AC60</f>
        <v>20.542262444433334</v>
      </c>
      <c r="AH64" s="78"/>
      <c r="AM64" s="71"/>
      <c r="AP64" s="78"/>
    </row>
    <row r="65" spans="1:42">
      <c r="A65" s="28"/>
      <c r="B65" s="28"/>
      <c r="C65" s="28"/>
      <c r="D65" s="28"/>
      <c r="E65" s="30" t="s">
        <v>105</v>
      </c>
      <c r="F65" s="28"/>
      <c r="G65" s="28"/>
      <c r="H65" s="30" t="s">
        <v>106</v>
      </c>
      <c r="I65" s="30"/>
      <c r="J65" s="28"/>
      <c r="K65" s="28"/>
      <c r="L65" s="28"/>
      <c r="M65" s="28"/>
      <c r="Q65" s="22">
        <v>13</v>
      </c>
      <c r="R65" s="22">
        <v>13</v>
      </c>
      <c r="S65" s="27"/>
      <c r="T65" s="27"/>
      <c r="U65" s="27">
        <v>365</v>
      </c>
      <c r="X65" s="6" t="s">
        <v>31</v>
      </c>
      <c r="Y65" s="7">
        <f>IF(Y62&gt;24,1,0)</f>
        <v>0</v>
      </c>
      <c r="Z65" s="8"/>
      <c r="AB65" s="80"/>
      <c r="AC65" s="10"/>
      <c r="AH65" s="78"/>
      <c r="AI65" s="80"/>
      <c r="AJ65" s="80" t="s">
        <v>231</v>
      </c>
      <c r="AK65" s="4">
        <f>AK91</f>
        <v>21.147219682695724</v>
      </c>
      <c r="AM65" s="80"/>
      <c r="AP65" s="78"/>
    </row>
    <row r="66" spans="1:42">
      <c r="A66" s="28"/>
      <c r="B66" s="28"/>
      <c r="C66" s="28"/>
      <c r="D66" s="28"/>
      <c r="E66" s="31" t="s">
        <v>107</v>
      </c>
      <c r="F66" s="32"/>
      <c r="G66" s="33"/>
      <c r="H66" s="34" t="s">
        <v>108</v>
      </c>
      <c r="I66" s="35" t="s">
        <v>109</v>
      </c>
      <c r="J66" s="28"/>
      <c r="K66" s="28"/>
      <c r="L66" s="28"/>
      <c r="M66" s="28"/>
      <c r="Q66" s="23">
        <v>14</v>
      </c>
      <c r="R66" s="23">
        <v>14</v>
      </c>
      <c r="S66" s="23">
        <v>0</v>
      </c>
      <c r="T66" s="23">
        <v>0</v>
      </c>
      <c r="U66" s="23">
        <v>0</v>
      </c>
      <c r="X66" s="6" t="s">
        <v>32</v>
      </c>
      <c r="Y66" s="7">
        <f>Y63+Y65</f>
        <v>0</v>
      </c>
      <c r="Z66" s="8"/>
      <c r="AB66" s="2" t="s">
        <v>195</v>
      </c>
      <c r="AD66" s="80"/>
      <c r="AH66" s="78"/>
      <c r="AJ66" s="57" t="s">
        <v>232</v>
      </c>
      <c r="AK66" s="76">
        <f>IF(AK65&lt;10,AK65,AM63)</f>
        <v>1.1472196826957237</v>
      </c>
      <c r="AL66" s="83" t="s">
        <v>233</v>
      </c>
      <c r="AM66" s="57"/>
      <c r="AN66" s="57"/>
      <c r="AO66" s="57"/>
      <c r="AP66" s="78"/>
    </row>
    <row r="67" spans="1:42">
      <c r="A67" s="28"/>
      <c r="B67" s="28"/>
      <c r="C67" s="28"/>
      <c r="D67" s="28"/>
      <c r="E67" s="36" t="s">
        <v>110</v>
      </c>
      <c r="F67" s="37"/>
      <c r="G67" s="38">
        <f>Y17</f>
        <v>2017</v>
      </c>
      <c r="H67" s="39" t="s">
        <v>111</v>
      </c>
      <c r="I67" s="40">
        <v>22.198443999999999</v>
      </c>
      <c r="J67" s="28"/>
      <c r="K67" s="28"/>
      <c r="L67" s="28"/>
      <c r="M67" s="28"/>
      <c r="X67" s="6" t="s">
        <v>33</v>
      </c>
      <c r="Y67" s="11" t="str">
        <f>IF(Y66&gt;0,"Λάθος πληκτρολόγηση στην ώρα","")</f>
        <v/>
      </c>
      <c r="Z67" s="8"/>
      <c r="AB67" s="1" t="s">
        <v>197</v>
      </c>
      <c r="AC67" s="4">
        <f>AC64</f>
        <v>20.542262444433334</v>
      </c>
      <c r="AD67" s="80"/>
      <c r="AH67" s="78"/>
      <c r="AJ67" s="1" t="s">
        <v>228</v>
      </c>
      <c r="AK67" s="68">
        <f>IF(AK66&lt;10,AK66,0)</f>
        <v>1.1472196826957237</v>
      </c>
      <c r="AL67" s="1" t="s">
        <v>210</v>
      </c>
      <c r="AM67" s="1">
        <f t="shared" ref="AM67:AM75" si="3">IF(AK68=0,AK67,0)</f>
        <v>0</v>
      </c>
      <c r="AN67" s="1" t="s">
        <v>234</v>
      </c>
      <c r="AO67" s="85">
        <f>IF(AM67&gt;0,9,0)</f>
        <v>0</v>
      </c>
      <c r="AP67" s="78"/>
    </row>
    <row r="68" spans="1:42">
      <c r="A68" s="28"/>
      <c r="B68" s="28"/>
      <c r="C68" s="28"/>
      <c r="D68" s="28"/>
      <c r="E68" s="41" t="s">
        <v>144</v>
      </c>
      <c r="F68" s="42"/>
      <c r="G68" s="43">
        <f>Y35</f>
        <v>23.907730000000001</v>
      </c>
      <c r="H68" s="39" t="s">
        <v>113</v>
      </c>
      <c r="I68" s="40">
        <v>23.907734000000001</v>
      </c>
      <c r="J68" s="28"/>
      <c r="K68" s="28"/>
      <c r="L68" s="28"/>
      <c r="M68" s="28"/>
      <c r="N68" s="2" t="s">
        <v>77</v>
      </c>
      <c r="X68" s="6" t="s">
        <v>34</v>
      </c>
      <c r="Y68" s="14">
        <f>IF(Y62&gt;24,0,Y62)</f>
        <v>20</v>
      </c>
      <c r="Z68" s="8"/>
      <c r="AB68" s="1" t="s">
        <v>199</v>
      </c>
      <c r="AC68" s="4">
        <f>AC63</f>
        <v>7.3524536613782621</v>
      </c>
      <c r="AD68" s="80"/>
      <c r="AH68" s="78"/>
      <c r="AJ68" s="1" t="s">
        <v>236</v>
      </c>
      <c r="AK68" s="68">
        <f>IF(AK66&lt;9,AK66,0)</f>
        <v>1.1472196826957237</v>
      </c>
      <c r="AL68" s="1" t="s">
        <v>210</v>
      </c>
      <c r="AM68" s="1">
        <f t="shared" si="3"/>
        <v>0</v>
      </c>
      <c r="AN68" s="1" t="s">
        <v>237</v>
      </c>
      <c r="AO68" s="85">
        <f>IF(AM68&gt;0,8,0)</f>
        <v>0</v>
      </c>
      <c r="AP68" s="78"/>
    </row>
    <row r="69" spans="1:42">
      <c r="A69" s="28"/>
      <c r="B69" s="28"/>
      <c r="C69" s="28"/>
      <c r="D69" s="28"/>
      <c r="E69" s="41" t="s">
        <v>112</v>
      </c>
      <c r="F69" s="42"/>
      <c r="G69" s="43">
        <f>Y49</f>
        <v>7</v>
      </c>
      <c r="H69" s="39" t="s">
        <v>115</v>
      </c>
      <c r="I69" s="40">
        <v>23.945778000000001</v>
      </c>
      <c r="J69" s="28"/>
      <c r="K69" s="28"/>
      <c r="L69" s="28"/>
      <c r="M69" s="28"/>
      <c r="N69" s="59" t="s">
        <v>78</v>
      </c>
      <c r="O69" s="60"/>
      <c r="P69" s="60"/>
      <c r="Q69" s="60"/>
      <c r="R69" s="60"/>
      <c r="S69" s="60"/>
      <c r="T69" s="60"/>
      <c r="U69" s="5"/>
      <c r="X69" s="6"/>
      <c r="Y69" s="7"/>
      <c r="Z69" s="8"/>
      <c r="AB69" s="1" t="s">
        <v>198</v>
      </c>
      <c r="AC69" s="1">
        <f>IF(AC68&gt;AC67,1,0)</f>
        <v>0</v>
      </c>
      <c r="AD69" s="80"/>
      <c r="AH69" s="78"/>
      <c r="AJ69" s="1" t="s">
        <v>238</v>
      </c>
      <c r="AK69" s="68">
        <f>IF(AK66&lt;8,AK66,0)</f>
        <v>1.1472196826957237</v>
      </c>
      <c r="AL69" s="1" t="s">
        <v>210</v>
      </c>
      <c r="AM69" s="1">
        <f t="shared" si="3"/>
        <v>0</v>
      </c>
      <c r="AN69" s="1" t="s">
        <v>239</v>
      </c>
      <c r="AO69" s="85">
        <f>IF(AM69&gt;0,7,0)</f>
        <v>0</v>
      </c>
      <c r="AP69" s="78"/>
    </row>
    <row r="70" spans="1:42">
      <c r="A70" s="28"/>
      <c r="B70" s="28"/>
      <c r="C70" s="28"/>
      <c r="D70" s="28"/>
      <c r="E70" s="41" t="s">
        <v>114</v>
      </c>
      <c r="F70" s="42"/>
      <c r="G70" s="43">
        <f>Y57</f>
        <v>21</v>
      </c>
      <c r="H70" s="39" t="s">
        <v>117</v>
      </c>
      <c r="I70" s="40">
        <v>23.284701999999999</v>
      </c>
      <c r="J70" s="28"/>
      <c r="K70" s="28"/>
      <c r="L70" s="28"/>
      <c r="M70" s="28"/>
      <c r="N70" s="6" t="s">
        <v>166</v>
      </c>
      <c r="O70" s="4">
        <f>AC21</f>
        <v>201</v>
      </c>
      <c r="P70" s="7"/>
      <c r="Q70" s="7"/>
      <c r="R70" s="7"/>
      <c r="S70" s="7"/>
      <c r="T70" s="7"/>
      <c r="U70" s="8" t="s">
        <v>167</v>
      </c>
      <c r="X70" s="13" t="s">
        <v>35</v>
      </c>
      <c r="Y70" s="4">
        <f>I83</f>
        <v>5</v>
      </c>
      <c r="Z70" s="8"/>
      <c r="AB70" s="1" t="s">
        <v>299</v>
      </c>
      <c r="AC70" s="71">
        <f>IF(AC69=1,0.065501792,0)</f>
        <v>0</v>
      </c>
      <c r="AH70" s="78"/>
      <c r="AJ70" s="1" t="s">
        <v>240</v>
      </c>
      <c r="AK70" s="68">
        <f>IF(AK66&lt;7,AK66,0)</f>
        <v>1.1472196826957237</v>
      </c>
      <c r="AL70" s="1" t="s">
        <v>210</v>
      </c>
      <c r="AM70" s="1">
        <f t="shared" si="3"/>
        <v>0</v>
      </c>
      <c r="AN70" s="1" t="s">
        <v>241</v>
      </c>
      <c r="AO70" s="85">
        <f>IF(AM70&gt;0,6,0)</f>
        <v>0</v>
      </c>
      <c r="AP70" s="78"/>
    </row>
    <row r="71" spans="1:42">
      <c r="A71" s="28"/>
      <c r="B71" s="28"/>
      <c r="C71" s="28"/>
      <c r="D71" s="28"/>
      <c r="E71" s="41" t="s">
        <v>116</v>
      </c>
      <c r="F71" s="42"/>
      <c r="G71" s="43">
        <f>AC76</f>
        <v>7</v>
      </c>
      <c r="H71" s="39" t="s">
        <v>119</v>
      </c>
      <c r="I71" s="40">
        <v>23.153606</v>
      </c>
      <c r="J71" s="28"/>
      <c r="K71" s="28"/>
      <c r="L71" s="28"/>
      <c r="M71" s="28"/>
      <c r="N71" s="6" t="s">
        <v>79</v>
      </c>
      <c r="O71" s="7">
        <f>IF(O70&gt;0,O70,0)</f>
        <v>201</v>
      </c>
      <c r="P71" s="7"/>
      <c r="Q71" s="7"/>
      <c r="R71" s="7"/>
      <c r="S71" s="7"/>
      <c r="T71" s="7"/>
      <c r="U71" s="8" t="s">
        <v>168</v>
      </c>
      <c r="X71" s="6" t="s">
        <v>5</v>
      </c>
      <c r="Y71" s="7" t="b">
        <f>ISNUMBER(Y70)</f>
        <v>1</v>
      </c>
      <c r="Z71" s="8" t="b">
        <v>0</v>
      </c>
      <c r="AB71" s="1" t="s">
        <v>201</v>
      </c>
      <c r="AC71" s="42">
        <f>AC68-AC70</f>
        <v>7.3524536613782621</v>
      </c>
      <c r="AH71" s="78"/>
      <c r="AJ71" s="1" t="s">
        <v>242</v>
      </c>
      <c r="AK71" s="68">
        <f>IF(AK66&lt;6,AK66,0)</f>
        <v>1.1472196826957237</v>
      </c>
      <c r="AL71" s="1" t="s">
        <v>210</v>
      </c>
      <c r="AM71" s="1">
        <f t="shared" si="3"/>
        <v>0</v>
      </c>
      <c r="AN71" s="1" t="s">
        <v>243</v>
      </c>
      <c r="AO71" s="85">
        <f>IF(AM71&gt;0,5,0)</f>
        <v>0</v>
      </c>
      <c r="AP71" s="78"/>
    </row>
    <row r="72" spans="1:42">
      <c r="A72" s="28"/>
      <c r="B72" s="28"/>
      <c r="C72" s="28"/>
      <c r="D72" s="28"/>
      <c r="E72" s="41" t="s">
        <v>118</v>
      </c>
      <c r="F72" s="42"/>
      <c r="G72" s="43">
        <f>AC77</f>
        <v>21</v>
      </c>
      <c r="H72" s="39" t="s">
        <v>121</v>
      </c>
      <c r="I72" s="40">
        <v>24.717924</v>
      </c>
      <c r="J72" s="28"/>
      <c r="K72" s="28"/>
      <c r="L72" s="28"/>
      <c r="M72" s="28"/>
      <c r="N72" s="6" t="s">
        <v>80</v>
      </c>
      <c r="O72" s="42">
        <f>IF(O71&gt;30,0,O71)</f>
        <v>0</v>
      </c>
      <c r="P72" s="61" t="s">
        <v>81</v>
      </c>
      <c r="Q72" s="61">
        <f>IF(O72&gt;0,R72,0)</f>
        <v>0</v>
      </c>
      <c r="R72" s="1">
        <v>6.6018517999999998E-2</v>
      </c>
      <c r="S72" s="7"/>
      <c r="T72" s="7"/>
      <c r="U72" s="8">
        <f>R72*31</f>
        <v>2.046574058</v>
      </c>
      <c r="X72" s="6" t="s">
        <v>6</v>
      </c>
      <c r="Y72" s="7">
        <f>Y71*1</f>
        <v>1</v>
      </c>
      <c r="Z72" s="8"/>
      <c r="AH72" s="78"/>
      <c r="AJ72" s="1" t="s">
        <v>244</v>
      </c>
      <c r="AK72" s="68">
        <f>IF(AK66&lt;5,AK66,0)</f>
        <v>1.1472196826957237</v>
      </c>
      <c r="AL72" s="1" t="s">
        <v>210</v>
      </c>
      <c r="AM72" s="1">
        <f t="shared" si="3"/>
        <v>0</v>
      </c>
      <c r="AN72" s="1" t="s">
        <v>245</v>
      </c>
      <c r="AO72" s="85">
        <f>IF(AM72&gt;0,4,0)</f>
        <v>0</v>
      </c>
      <c r="AP72" s="78"/>
    </row>
    <row r="73" spans="1:42">
      <c r="A73" s="28"/>
      <c r="B73" s="28"/>
      <c r="C73" s="28"/>
      <c r="D73" s="28"/>
      <c r="E73" s="44" t="s">
        <v>120</v>
      </c>
      <c r="F73" s="45"/>
      <c r="G73" s="107">
        <f>AC78</f>
        <v>8.8331809617434232</v>
      </c>
      <c r="H73" s="39" t="s">
        <v>123</v>
      </c>
      <c r="I73" s="40"/>
      <c r="J73" s="29" t="s">
        <v>124</v>
      </c>
      <c r="K73" s="28"/>
      <c r="L73" s="28"/>
      <c r="M73" s="28"/>
      <c r="N73" s="6" t="s">
        <v>82</v>
      </c>
      <c r="O73" s="7">
        <f xml:space="preserve"> IF(O70&gt;30,O70,0)</f>
        <v>201</v>
      </c>
      <c r="P73" s="61"/>
      <c r="Q73" s="61"/>
      <c r="R73" s="7"/>
      <c r="S73" s="7"/>
      <c r="T73" s="7"/>
      <c r="U73" s="8"/>
      <c r="X73" s="6" t="s">
        <v>29</v>
      </c>
      <c r="Y73" s="9">
        <f>IF(Y72=1,Y70,0)</f>
        <v>5</v>
      </c>
      <c r="Z73" s="8"/>
      <c r="AB73" s="1" t="s">
        <v>203</v>
      </c>
      <c r="AH73" s="78"/>
      <c r="AJ73" s="1" t="s">
        <v>246</v>
      </c>
      <c r="AK73" s="68">
        <f>IF(AK66&lt;4,AK66,0)</f>
        <v>1.1472196826957237</v>
      </c>
      <c r="AL73" s="1" t="s">
        <v>210</v>
      </c>
      <c r="AM73" s="1">
        <f t="shared" si="3"/>
        <v>0</v>
      </c>
      <c r="AN73" s="1" t="s">
        <v>247</v>
      </c>
      <c r="AO73" s="85">
        <f>IF(AM73&gt;0,3,0)</f>
        <v>0</v>
      </c>
      <c r="AP73" s="78"/>
    </row>
    <row r="74" spans="1:42">
      <c r="A74" s="28"/>
      <c r="B74" s="28"/>
      <c r="C74" s="28"/>
      <c r="D74" s="28"/>
      <c r="E74" s="46" t="s">
        <v>122</v>
      </c>
      <c r="F74" s="47"/>
      <c r="G74" s="47"/>
      <c r="H74" s="39" t="s">
        <v>126</v>
      </c>
      <c r="I74" s="40"/>
      <c r="J74" s="28" t="s">
        <v>127</v>
      </c>
      <c r="K74" s="28"/>
      <c r="L74" s="28"/>
      <c r="M74" s="28"/>
      <c r="N74" s="6" t="s">
        <v>83</v>
      </c>
      <c r="O74" s="42">
        <f>IF(O73&gt;58,0,O73)</f>
        <v>0</v>
      </c>
      <c r="P74" s="61" t="s">
        <v>81</v>
      </c>
      <c r="Q74" s="61">
        <f>IF(O74&gt;0,R74,0)</f>
        <v>0</v>
      </c>
      <c r="R74" s="1">
        <v>6.6071428000000001E-2</v>
      </c>
      <c r="S74" s="7" t="s">
        <v>169</v>
      </c>
      <c r="T74" s="7">
        <f>IF(Q74&gt;0,U72,0)</f>
        <v>0</v>
      </c>
      <c r="U74" s="8">
        <f>(R74*28)+U72</f>
        <v>3.8965740420000001</v>
      </c>
      <c r="X74" s="6" t="s">
        <v>36</v>
      </c>
      <c r="Y74" s="7">
        <f>IF(Y68=24,0,1)</f>
        <v>1</v>
      </c>
      <c r="Z74" s="8"/>
      <c r="AB74" s="1" t="s">
        <v>204</v>
      </c>
      <c r="AH74" s="78"/>
      <c r="AJ74" s="1" t="s">
        <v>248</v>
      </c>
      <c r="AK74" s="68">
        <f>IF(AK66&lt;3,AK66,0)</f>
        <v>1.1472196826957237</v>
      </c>
      <c r="AL74" s="1" t="s">
        <v>210</v>
      </c>
      <c r="AM74" s="1">
        <f t="shared" si="3"/>
        <v>0</v>
      </c>
      <c r="AN74" s="1" t="s">
        <v>249</v>
      </c>
      <c r="AO74" s="85">
        <f>IF(AM74&gt;0,2,0)</f>
        <v>0</v>
      </c>
      <c r="AP74" s="78"/>
    </row>
    <row r="75" spans="1:42">
      <c r="A75" s="28"/>
      <c r="B75" s="28"/>
      <c r="C75" s="28"/>
      <c r="D75" s="28"/>
      <c r="E75" s="108" t="s">
        <v>125</v>
      </c>
      <c r="F75" s="42"/>
      <c r="G75" s="42"/>
      <c r="H75" s="39"/>
      <c r="I75" s="40"/>
      <c r="J75" s="49" t="s">
        <v>130</v>
      </c>
      <c r="K75" s="28"/>
      <c r="L75" s="28"/>
      <c r="M75" s="28"/>
      <c r="N75" s="6" t="s">
        <v>84</v>
      </c>
      <c r="O75" s="7">
        <f>IF(O70&gt;58,O70,0)</f>
        <v>201</v>
      </c>
      <c r="P75" s="61"/>
      <c r="Q75" s="61"/>
      <c r="R75" s="7"/>
      <c r="S75" s="7"/>
      <c r="T75" s="7"/>
      <c r="U75" s="8"/>
      <c r="X75" s="6" t="s">
        <v>37</v>
      </c>
      <c r="Y75" s="7">
        <f>IF(Y74=0,Y73,0)</f>
        <v>0</v>
      </c>
      <c r="Z75" s="8"/>
      <c r="AH75" s="78"/>
      <c r="AJ75" s="1" t="s">
        <v>250</v>
      </c>
      <c r="AK75" s="68">
        <f>IF(AK66&lt;2,AK66,0)</f>
        <v>1.1472196826957237</v>
      </c>
      <c r="AL75" s="1" t="s">
        <v>210</v>
      </c>
      <c r="AM75" s="1">
        <f t="shared" si="3"/>
        <v>1.1472196826957237</v>
      </c>
      <c r="AN75" s="1" t="s">
        <v>251</v>
      </c>
      <c r="AO75" s="85">
        <f>IF(AM75&gt;0,1,0)</f>
        <v>1</v>
      </c>
      <c r="AP75" s="78"/>
    </row>
    <row r="76" spans="1:42">
      <c r="A76" s="28"/>
      <c r="B76" s="28"/>
      <c r="C76" s="28"/>
      <c r="D76" s="28"/>
      <c r="E76" s="103" t="s">
        <v>128</v>
      </c>
      <c r="F76" s="48"/>
      <c r="G76" s="103" t="s">
        <v>129</v>
      </c>
      <c r="H76" s="35" t="s">
        <v>131</v>
      </c>
      <c r="I76" s="106" t="s">
        <v>132</v>
      </c>
      <c r="J76" s="45"/>
      <c r="K76" s="45"/>
      <c r="L76" s="45"/>
      <c r="M76" s="28"/>
      <c r="N76" s="6" t="s">
        <v>85</v>
      </c>
      <c r="O76" s="42">
        <f>IF(O75&gt;89,0,O75)</f>
        <v>0</v>
      </c>
      <c r="P76" s="61" t="s">
        <v>81</v>
      </c>
      <c r="Q76" s="61">
        <f>IF(O76&gt;0,R76,0)</f>
        <v>0</v>
      </c>
      <c r="R76" s="1">
        <v>6.5905017999999996E-2</v>
      </c>
      <c r="S76" s="7" t="s">
        <v>169</v>
      </c>
      <c r="T76" s="7">
        <f>IF(Q76&gt;0,U74,0)</f>
        <v>0</v>
      </c>
      <c r="U76" s="8">
        <f>(R76*31)+U74</f>
        <v>5.9396296</v>
      </c>
      <c r="X76" s="6" t="s">
        <v>38</v>
      </c>
      <c r="Y76" s="7">
        <f>IF(Y75=0,0,1)</f>
        <v>0</v>
      </c>
      <c r="Z76" s="8"/>
      <c r="AB76" s="1" t="s">
        <v>142</v>
      </c>
      <c r="AC76" s="77">
        <f>AI87</f>
        <v>7</v>
      </c>
      <c r="AH76" s="78"/>
      <c r="AJ76" s="1" t="s">
        <v>252</v>
      </c>
      <c r="AK76" s="68">
        <f>IF(AK66&lt;1,AK66,0)</f>
        <v>0</v>
      </c>
      <c r="AL76" s="1" t="s">
        <v>253</v>
      </c>
      <c r="AM76" s="71">
        <f>AK66-AO76</f>
        <v>0.14721968269572372</v>
      </c>
      <c r="AN76" s="1" t="s">
        <v>254</v>
      </c>
      <c r="AO76" s="71">
        <f>AO67+AO68+AO69+AO70+AO71+AO72+AO73+AO74+AO75</f>
        <v>1</v>
      </c>
      <c r="AP76" s="78"/>
    </row>
    <row r="77" spans="1:42">
      <c r="A77" s="28"/>
      <c r="B77" s="28"/>
      <c r="C77" s="28"/>
      <c r="D77" s="28"/>
      <c r="E77" s="50">
        <f>AC108</f>
        <v>46</v>
      </c>
      <c r="F77" s="104"/>
      <c r="G77" s="50">
        <f>AC111</f>
        <v>12</v>
      </c>
      <c r="H77" s="41" t="s">
        <v>329</v>
      </c>
      <c r="I77" s="23">
        <v>2017</v>
      </c>
      <c r="J77" s="51" t="str">
        <f>Y24</f>
        <v/>
      </c>
      <c r="K77" s="28"/>
      <c r="L77" s="28"/>
      <c r="M77" s="28"/>
      <c r="N77" s="6" t="s">
        <v>86</v>
      </c>
      <c r="O77" s="7">
        <f>IF(O70&gt;89,O70,0)</f>
        <v>201</v>
      </c>
      <c r="P77" s="61"/>
      <c r="Q77" s="61"/>
      <c r="R77" s="7"/>
      <c r="S77" s="7"/>
      <c r="T77" s="7"/>
      <c r="U77" s="8"/>
      <c r="X77" s="6" t="s">
        <v>39</v>
      </c>
      <c r="Y77" s="7">
        <f>IF(Y73&lt;60,0,1)</f>
        <v>0</v>
      </c>
      <c r="Z77" s="8"/>
      <c r="AB77" s="1" t="s">
        <v>143</v>
      </c>
      <c r="AC77" s="77">
        <f>AI89</f>
        <v>21</v>
      </c>
      <c r="AH77" s="78"/>
      <c r="AI77" s="80"/>
      <c r="AJ77" s="80"/>
      <c r="AK77" s="80"/>
      <c r="AL77" s="2" t="s">
        <v>256</v>
      </c>
      <c r="AM77" s="80"/>
      <c r="AN77" s="80"/>
      <c r="AO77" s="80"/>
      <c r="AP77" s="78"/>
    </row>
    <row r="78" spans="1:42">
      <c r="A78" s="28"/>
      <c r="B78" s="28"/>
      <c r="C78" s="28"/>
      <c r="D78" s="42"/>
      <c r="E78" s="105" t="s">
        <v>133</v>
      </c>
      <c r="F78" s="42"/>
      <c r="G78" s="47"/>
      <c r="H78" s="42" t="s">
        <v>328</v>
      </c>
      <c r="I78" s="4">
        <v>23.907730000000001</v>
      </c>
      <c r="J78" s="51" t="str">
        <f>Y37</f>
        <v/>
      </c>
      <c r="K78" s="28"/>
      <c r="L78" s="28"/>
      <c r="M78" s="28"/>
      <c r="N78" s="6" t="s">
        <v>87</v>
      </c>
      <c r="O78" s="42">
        <f>IF(O77&gt;119,0,O77)</f>
        <v>0</v>
      </c>
      <c r="P78" s="61" t="s">
        <v>81</v>
      </c>
      <c r="Q78" s="61">
        <f>IF(O78&gt;0,R78,0)</f>
        <v>0</v>
      </c>
      <c r="R78" s="1">
        <v>6.5648148000000003E-2</v>
      </c>
      <c r="S78" s="7" t="s">
        <v>169</v>
      </c>
      <c r="T78" s="7">
        <f>IF(Q78&gt;0,U76,0)</f>
        <v>0</v>
      </c>
      <c r="U78" s="8">
        <f>(R78*30)+U76</f>
        <v>7.9090740400000001</v>
      </c>
      <c r="X78" s="6" t="s">
        <v>40</v>
      </c>
      <c r="Y78" s="10">
        <f>IF(Y71=Z71,1,0)</f>
        <v>0</v>
      </c>
      <c r="Z78" s="8"/>
      <c r="AB78" s="1" t="s">
        <v>120</v>
      </c>
      <c r="AC78" s="77">
        <f>AI91</f>
        <v>8.8331809617434232</v>
      </c>
      <c r="AH78" s="78"/>
      <c r="AI78" s="91" t="s">
        <v>282</v>
      </c>
      <c r="AL78" s="1" t="s">
        <v>283</v>
      </c>
      <c r="AM78" s="1">
        <f>IF(AM76&lt;0.000000001,0,AM76)</f>
        <v>0.14721968269572372</v>
      </c>
      <c r="AP78" s="78"/>
    </row>
    <row r="79" spans="1:42">
      <c r="A79" s="28"/>
      <c r="B79" s="28"/>
      <c r="C79" s="28"/>
      <c r="D79" s="29" t="s">
        <v>124</v>
      </c>
      <c r="E79" s="42"/>
      <c r="F79" s="42"/>
      <c r="G79" s="42"/>
      <c r="H79" s="42"/>
      <c r="I79" s="52" t="s">
        <v>134</v>
      </c>
      <c r="J79" s="51"/>
      <c r="K79" s="28"/>
      <c r="L79" s="28"/>
      <c r="M79" s="28"/>
      <c r="N79" s="6" t="s">
        <v>88</v>
      </c>
      <c r="O79" s="7">
        <f>IF(O70&gt;119,O70,0)</f>
        <v>201</v>
      </c>
      <c r="P79" s="61"/>
      <c r="Q79" s="61"/>
      <c r="R79" s="7"/>
      <c r="S79" s="7"/>
      <c r="T79" s="7"/>
      <c r="U79" s="8"/>
      <c r="X79" s="6" t="s">
        <v>41</v>
      </c>
      <c r="Y79" s="7">
        <f>Y76+Y77+Y78</f>
        <v>0</v>
      </c>
      <c r="Z79" s="8"/>
      <c r="AH79" s="78"/>
      <c r="AI79" s="4">
        <f>AC71</f>
        <v>7.3524536613782621</v>
      </c>
      <c r="AJ79" s="86" t="s">
        <v>255</v>
      </c>
      <c r="AK79" s="87"/>
      <c r="AL79" s="1" t="s">
        <v>284</v>
      </c>
      <c r="AM79" s="71">
        <f>IF(AM78&gt;0.999999999,0,AM78)</f>
        <v>0.14721968269572372</v>
      </c>
      <c r="AN79" s="2" t="s">
        <v>257</v>
      </c>
      <c r="AP79" s="78"/>
    </row>
    <row r="80" spans="1:42">
      <c r="A80" s="28"/>
      <c r="B80" s="28"/>
      <c r="C80" s="28"/>
      <c r="D80" s="53" t="s">
        <v>331</v>
      </c>
      <c r="E80" s="29"/>
      <c r="F80" s="42"/>
      <c r="G80" s="42"/>
      <c r="H80" s="42" t="s">
        <v>326</v>
      </c>
      <c r="I80" s="4">
        <v>7</v>
      </c>
      <c r="J80" s="51" t="str">
        <f>Y45</f>
        <v/>
      </c>
      <c r="K80" s="28"/>
      <c r="L80" s="28"/>
      <c r="M80" s="28"/>
      <c r="N80" s="6" t="s">
        <v>89</v>
      </c>
      <c r="O80" s="42">
        <f>IF(O79&gt;150,0,O79)</f>
        <v>0</v>
      </c>
      <c r="P80" s="61" t="s">
        <v>81</v>
      </c>
      <c r="Q80" s="61">
        <f>IF(O80&gt;0,R80,0)</f>
        <v>0</v>
      </c>
      <c r="R80" s="1">
        <v>6.5367383000000001E-2</v>
      </c>
      <c r="S80" s="7" t="s">
        <v>169</v>
      </c>
      <c r="T80" s="7">
        <f>IF(Q80&gt;0,U78,0)</f>
        <v>0</v>
      </c>
      <c r="U80" s="8">
        <f>(R80*31)+U78</f>
        <v>9.9354629130000003</v>
      </c>
      <c r="X80" s="6" t="s">
        <v>42</v>
      </c>
      <c r="Y80" s="11" t="str">
        <f>IF(Y79&gt;0,"Λάθος πληκτρολόγηση στα λεπτά","")</f>
        <v/>
      </c>
      <c r="Z80" s="8"/>
      <c r="AB80" s="2" t="s">
        <v>300</v>
      </c>
      <c r="AH80" s="78"/>
      <c r="AJ80" s="10" t="s">
        <v>258</v>
      </c>
      <c r="AK80" s="10"/>
      <c r="AL80" s="2" t="s">
        <v>259</v>
      </c>
      <c r="AN80" s="1" t="s">
        <v>285</v>
      </c>
      <c r="AP80" s="78"/>
    </row>
    <row r="81" spans="1:42">
      <c r="A81" s="28"/>
      <c r="B81" s="28"/>
      <c r="C81" s="28"/>
      <c r="D81" s="42" t="s">
        <v>135</v>
      </c>
      <c r="E81" s="42"/>
      <c r="F81" s="42"/>
      <c r="G81" s="42"/>
      <c r="H81" s="42" t="s">
        <v>327</v>
      </c>
      <c r="I81" s="4">
        <v>21</v>
      </c>
      <c r="J81" s="51" t="str">
        <f>Y56</f>
        <v/>
      </c>
      <c r="K81" s="28"/>
      <c r="L81" s="28"/>
      <c r="M81" s="28"/>
      <c r="N81" s="6" t="s">
        <v>90</v>
      </c>
      <c r="O81" s="7">
        <f>IF(O70&gt;150,O70,0)</f>
        <v>201</v>
      </c>
      <c r="P81" s="61"/>
      <c r="Q81" s="61"/>
      <c r="R81" s="7"/>
      <c r="S81" s="7"/>
      <c r="T81" s="7"/>
      <c r="U81" s="8"/>
      <c r="X81" s="15" t="s">
        <v>43</v>
      </c>
      <c r="Y81" s="10">
        <f>IF(Y79=0,Y73,0)</f>
        <v>5</v>
      </c>
      <c r="Z81" s="8"/>
      <c r="AB81" s="1" t="s">
        <v>301</v>
      </c>
      <c r="AC81" s="4">
        <f>AC71</f>
        <v>7.3524536613782621</v>
      </c>
      <c r="AH81" s="78"/>
      <c r="AI81" s="92" t="s">
        <v>286</v>
      </c>
      <c r="AJ81" s="10" t="s">
        <v>261</v>
      </c>
      <c r="AK81" s="7"/>
      <c r="AL81" s="1" t="s">
        <v>262</v>
      </c>
      <c r="AM81" s="1">
        <f>AK91-AM79</f>
        <v>21</v>
      </c>
      <c r="AN81" s="1" t="s">
        <v>287</v>
      </c>
      <c r="AO81" s="71">
        <f>AM42</f>
        <v>7</v>
      </c>
      <c r="AP81" s="78"/>
    </row>
    <row r="82" spans="1:42">
      <c r="A82" s="28"/>
      <c r="B82" s="28"/>
      <c r="C82" s="28"/>
      <c r="D82" s="53" t="s">
        <v>136</v>
      </c>
      <c r="E82" s="42"/>
      <c r="F82" s="42"/>
      <c r="G82" s="42"/>
      <c r="H82" s="42" t="s">
        <v>333</v>
      </c>
      <c r="I82" s="4">
        <v>20</v>
      </c>
      <c r="J82" s="51" t="str">
        <f>Y67</f>
        <v/>
      </c>
      <c r="K82" s="28"/>
      <c r="L82" s="28"/>
      <c r="M82" s="28"/>
      <c r="N82" s="6" t="s">
        <v>91</v>
      </c>
      <c r="O82" s="42">
        <f>IF(O81&gt;180,0,O81)</f>
        <v>0</v>
      </c>
      <c r="P82" s="61" t="s">
        <v>81</v>
      </c>
      <c r="Q82" s="61">
        <f>IF(O82&gt;0,R82,0)</f>
        <v>0</v>
      </c>
      <c r="R82" s="1">
        <v>6.5138889000000005E-2</v>
      </c>
      <c r="S82" s="7" t="s">
        <v>169</v>
      </c>
      <c r="T82" s="7">
        <f>IF(Q82&gt;0,U80,0)</f>
        <v>0</v>
      </c>
      <c r="U82" s="8">
        <f>(R82*30)+U80</f>
        <v>11.889629583000001</v>
      </c>
      <c r="X82" s="6" t="s">
        <v>44</v>
      </c>
      <c r="Y82" s="14">
        <f>IF(Y81&lt;60,Y81,0)</f>
        <v>5</v>
      </c>
      <c r="Z82" s="8"/>
      <c r="AB82" s="1" t="s">
        <v>302</v>
      </c>
      <c r="AH82" s="78"/>
      <c r="AI82" s="1" t="s">
        <v>259</v>
      </c>
      <c r="AJ82" s="88" t="s">
        <v>264</v>
      </c>
      <c r="AK82" s="4">
        <f>AO38</f>
        <v>21.147219682695724</v>
      </c>
      <c r="AL82" s="1" t="s">
        <v>265</v>
      </c>
      <c r="AM82" s="1">
        <f>IF(AK86=1,AM81,0)</f>
        <v>0</v>
      </c>
      <c r="AP82" s="78"/>
    </row>
    <row r="83" spans="1:42">
      <c r="A83" s="28"/>
      <c r="B83" s="28"/>
      <c r="C83" s="28"/>
      <c r="D83" s="53" t="s">
        <v>137</v>
      </c>
      <c r="E83" s="42"/>
      <c r="F83" s="42"/>
      <c r="G83" s="42"/>
      <c r="H83" s="42" t="s">
        <v>330</v>
      </c>
      <c r="I83" s="4">
        <v>5</v>
      </c>
      <c r="J83" s="51" t="str">
        <f>Y80</f>
        <v/>
      </c>
      <c r="K83" s="28"/>
      <c r="L83" s="28"/>
      <c r="M83" s="28"/>
      <c r="N83" s="6" t="s">
        <v>92</v>
      </c>
      <c r="O83" s="7">
        <f>IF(O70&gt;180,O70,0)</f>
        <v>201</v>
      </c>
      <c r="P83" s="61"/>
      <c r="Q83" s="61"/>
      <c r="R83" s="7"/>
      <c r="S83" s="7"/>
      <c r="T83" s="7"/>
      <c r="U83" s="8"/>
      <c r="X83" s="15"/>
      <c r="Y83" s="10"/>
      <c r="Z83" s="8"/>
      <c r="AB83" s="1" t="s">
        <v>303</v>
      </c>
      <c r="AC83" s="4">
        <f>Y68</f>
        <v>20</v>
      </c>
      <c r="AH83" s="78"/>
      <c r="AI83" s="12">
        <f>AM42</f>
        <v>7</v>
      </c>
      <c r="AJ83" s="7" t="s">
        <v>267</v>
      </c>
      <c r="AK83" s="7" t="b">
        <f>ISNUMBER(AK82)</f>
        <v>1</v>
      </c>
      <c r="AL83" s="1" t="s">
        <v>268</v>
      </c>
      <c r="AM83" s="1">
        <f>-1*AM82</f>
        <v>0</v>
      </c>
      <c r="AN83" s="1" t="s">
        <v>288</v>
      </c>
      <c r="AP83" s="78"/>
    </row>
    <row r="84" spans="1:42">
      <c r="A84" s="28"/>
      <c r="B84" s="28"/>
      <c r="C84" s="28"/>
      <c r="D84" s="28"/>
      <c r="E84" s="42"/>
      <c r="F84" s="42"/>
      <c r="G84" s="42"/>
      <c r="H84" s="43"/>
      <c r="I84" s="52" t="s">
        <v>134</v>
      </c>
      <c r="J84" s="42"/>
      <c r="K84" s="28"/>
      <c r="L84" s="28"/>
      <c r="M84" s="28"/>
      <c r="N84" s="6" t="s">
        <v>93</v>
      </c>
      <c r="O84" s="42">
        <f>IF(O83&gt;211,0,O83)</f>
        <v>201</v>
      </c>
      <c r="P84" s="61" t="s">
        <v>81</v>
      </c>
      <c r="Q84" s="61">
        <f>IF(O84&gt;0,R84,0)</f>
        <v>6.5008960000000005E-2</v>
      </c>
      <c r="R84" s="1">
        <v>6.5008960000000005E-2</v>
      </c>
      <c r="S84" s="7" t="s">
        <v>169</v>
      </c>
      <c r="T84" s="7">
        <f>IF(Q84&gt;0,U82,0)</f>
        <v>11.889629583000001</v>
      </c>
      <c r="U84" s="8">
        <f>(R84*31)+U82</f>
        <v>13.904907343000001</v>
      </c>
      <c r="X84" s="13" t="s">
        <v>45</v>
      </c>
      <c r="Y84" s="7"/>
      <c r="Z84" s="8"/>
      <c r="AB84" s="1" t="s">
        <v>304</v>
      </c>
      <c r="AC84" s="4">
        <f>Y82</f>
        <v>5</v>
      </c>
      <c r="AH84" s="78"/>
      <c r="AI84" s="1" t="s">
        <v>273</v>
      </c>
      <c r="AJ84" s="7" t="s">
        <v>269</v>
      </c>
      <c r="AK84" s="7">
        <f>AK83*1</f>
        <v>1</v>
      </c>
      <c r="AL84" s="1" t="s">
        <v>270</v>
      </c>
      <c r="AM84" s="71">
        <f>IF(AK86=1,AM83,AM81)</f>
        <v>21</v>
      </c>
      <c r="AN84" s="1" t="s">
        <v>289</v>
      </c>
      <c r="AO84" s="71">
        <f>AM84</f>
        <v>21</v>
      </c>
      <c r="AP84" s="78"/>
    </row>
    <row r="85" spans="1:42">
      <c r="A85" s="28"/>
      <c r="B85" s="28"/>
      <c r="C85" s="28"/>
      <c r="D85" s="28"/>
      <c r="E85" s="42"/>
      <c r="F85" s="42"/>
      <c r="G85" s="42"/>
      <c r="H85" s="28"/>
      <c r="I85" s="28"/>
      <c r="J85" s="28"/>
      <c r="K85" s="28"/>
      <c r="L85" s="28"/>
      <c r="M85" s="28"/>
      <c r="N85" s="6" t="s">
        <v>94</v>
      </c>
      <c r="O85" s="7">
        <f>IF(O70&gt;211,O70,0)</f>
        <v>0</v>
      </c>
      <c r="P85" s="61"/>
      <c r="Q85" s="61"/>
      <c r="R85" s="7"/>
      <c r="S85" s="7"/>
      <c r="T85" s="7"/>
      <c r="U85" s="8"/>
      <c r="X85" s="6" t="s">
        <v>46</v>
      </c>
      <c r="Y85" s="4"/>
      <c r="Z85" s="8"/>
      <c r="AB85" s="1" t="s">
        <v>305</v>
      </c>
      <c r="AH85" s="78"/>
      <c r="AI85" s="12">
        <f>AM47</f>
        <v>0.35245366137826206</v>
      </c>
      <c r="AJ85" s="7" t="s">
        <v>271</v>
      </c>
      <c r="AK85" s="10">
        <f>IF(AK84=1,AK82,0)</f>
        <v>21.147219682695724</v>
      </c>
      <c r="AM85" s="80"/>
      <c r="AP85" s="78"/>
    </row>
    <row r="86" spans="1:42">
      <c r="A86" s="28"/>
      <c r="B86" s="28"/>
      <c r="C86" s="28"/>
      <c r="D86" s="28"/>
      <c r="E86" s="42"/>
      <c r="F86" s="42"/>
      <c r="G86" s="42"/>
      <c r="H86" s="28"/>
      <c r="I86" s="28"/>
      <c r="J86" s="28"/>
      <c r="K86" s="28"/>
      <c r="L86" s="28"/>
      <c r="M86" s="28"/>
      <c r="N86" s="6" t="s">
        <v>95</v>
      </c>
      <c r="O86" s="42">
        <f>IF(O85&gt;242,0,O85)</f>
        <v>0</v>
      </c>
      <c r="P86" s="61" t="s">
        <v>81</v>
      </c>
      <c r="Q86" s="61">
        <f>IF(O86&gt;0,R86,0)</f>
        <v>0</v>
      </c>
      <c r="R86" s="1">
        <v>6.5008960000000005E-2</v>
      </c>
      <c r="S86" s="7" t="s">
        <v>169</v>
      </c>
      <c r="T86" s="7">
        <f>IF(Q86&gt;0,U84,0)</f>
        <v>0</v>
      </c>
      <c r="U86" s="8">
        <f>(R86*31)+U84</f>
        <v>15.920185103000001</v>
      </c>
      <c r="X86" s="16" t="s">
        <v>47</v>
      </c>
      <c r="Y86" s="14" t="e">
        <f>LOOKUP(Y85,S11:S27,V11:V27)</f>
        <v>#N/A</v>
      </c>
      <c r="Z86" s="17"/>
      <c r="AB86" s="1" t="s">
        <v>306</v>
      </c>
      <c r="AC86" s="1">
        <f>AC84/60</f>
        <v>8.3333333333333329E-2</v>
      </c>
      <c r="AH86" s="78"/>
      <c r="AI86" s="93" t="s">
        <v>290</v>
      </c>
      <c r="AJ86" s="89" t="s">
        <v>272</v>
      </c>
      <c r="AK86" s="89">
        <f>IF(AK85&lt;0,1,0)</f>
        <v>0</v>
      </c>
      <c r="AL86" s="2" t="s">
        <v>273</v>
      </c>
      <c r="AN86" s="1" t="s">
        <v>291</v>
      </c>
      <c r="AP86" s="78"/>
    </row>
    <row r="87" spans="1:42">
      <c r="A87" s="28"/>
      <c r="B87" s="28"/>
      <c r="C87" s="28"/>
      <c r="D87" s="28"/>
      <c r="E87" s="28"/>
      <c r="F87" s="28"/>
      <c r="G87" s="28"/>
      <c r="H87" s="28"/>
      <c r="I87" s="28"/>
      <c r="J87" s="28"/>
      <c r="K87" s="28"/>
      <c r="L87" s="28"/>
      <c r="M87" s="28"/>
      <c r="N87" s="6" t="s">
        <v>96</v>
      </c>
      <c r="O87" s="7">
        <f>IF(O70&gt;242,O70,0)</f>
        <v>0</v>
      </c>
      <c r="P87" s="61"/>
      <c r="Q87" s="61"/>
      <c r="R87" s="7"/>
      <c r="S87" s="7"/>
      <c r="T87" s="7"/>
      <c r="U87" s="8"/>
      <c r="AB87" s="1" t="s">
        <v>307</v>
      </c>
      <c r="AC87" s="1">
        <f>AC86+AC83</f>
        <v>20.083333333333332</v>
      </c>
      <c r="AH87" s="78"/>
      <c r="AI87" s="94">
        <f>AO81</f>
        <v>7</v>
      </c>
      <c r="AJ87" s="7" t="s">
        <v>274</v>
      </c>
      <c r="AK87" s="7">
        <f>IF(AK86=1,AK85,0)</f>
        <v>0</v>
      </c>
      <c r="AL87" s="1" t="s">
        <v>275</v>
      </c>
      <c r="AM87" s="1">
        <f>IF(AK86=1,AM79,0)</f>
        <v>0</v>
      </c>
      <c r="AN87" s="1" t="s">
        <v>292</v>
      </c>
      <c r="AO87" s="71">
        <f>60*AM89</f>
        <v>8.8331809617434232</v>
      </c>
      <c r="AP87" s="78"/>
    </row>
    <row r="88" spans="1:42">
      <c r="A88" s="28"/>
      <c r="B88" s="28"/>
      <c r="C88" s="28"/>
      <c r="D88" s="28"/>
      <c r="E88" s="28"/>
      <c r="F88" s="28"/>
      <c r="G88" s="28"/>
      <c r="H88" s="28"/>
      <c r="I88" s="28"/>
      <c r="J88" s="28"/>
      <c r="K88" s="28"/>
      <c r="L88" s="28"/>
      <c r="M88" s="28"/>
      <c r="N88" s="6" t="s">
        <v>97</v>
      </c>
      <c r="O88" s="42">
        <f>IF(O87&gt;272,0,O87)</f>
        <v>0</v>
      </c>
      <c r="P88" s="61" t="s">
        <v>81</v>
      </c>
      <c r="Q88" s="61">
        <f>IF(O88&gt;0,R88,0)</f>
        <v>0</v>
      </c>
      <c r="R88" s="1">
        <v>6.5046296000000003E-2</v>
      </c>
      <c r="S88" s="7" t="s">
        <v>169</v>
      </c>
      <c r="T88" s="7">
        <f>IF(Q88&gt;0,U86,0)</f>
        <v>0</v>
      </c>
      <c r="U88" s="8">
        <f>(R88*30)+U86</f>
        <v>17.871573983000001</v>
      </c>
      <c r="AB88" s="97" t="s">
        <v>308</v>
      </c>
      <c r="AC88" s="71">
        <f>AC87-AC81</f>
        <v>12.730879671955069</v>
      </c>
      <c r="AE88" s="1" t="s">
        <v>202</v>
      </c>
      <c r="AH88" s="78"/>
      <c r="AI88" s="95" t="s">
        <v>163</v>
      </c>
      <c r="AJ88" s="7" t="s">
        <v>276</v>
      </c>
      <c r="AK88" s="7">
        <f>AK87*-1</f>
        <v>0</v>
      </c>
      <c r="AL88" s="1" t="s">
        <v>268</v>
      </c>
      <c r="AM88" s="1">
        <f>-1*AM87</f>
        <v>0</v>
      </c>
      <c r="AP88" s="78"/>
    </row>
    <row r="89" spans="1:42">
      <c r="A89" s="28"/>
      <c r="B89" s="28"/>
      <c r="C89" s="28"/>
      <c r="D89" s="28"/>
      <c r="E89" s="28"/>
      <c r="F89" s="28"/>
      <c r="G89" s="28"/>
      <c r="H89" s="28"/>
      <c r="I89" s="28"/>
      <c r="J89" s="28"/>
      <c r="K89" s="28"/>
      <c r="L89" s="28"/>
      <c r="M89" s="28"/>
      <c r="N89" s="6" t="s">
        <v>98</v>
      </c>
      <c r="O89" s="7">
        <f>IF(O70&gt;272,O70,0)</f>
        <v>0</v>
      </c>
      <c r="P89" s="61"/>
      <c r="Q89" s="61"/>
      <c r="R89" s="7"/>
      <c r="S89" s="7"/>
      <c r="T89" s="7"/>
      <c r="U89" s="8"/>
      <c r="AB89" s="97" t="s">
        <v>309</v>
      </c>
      <c r="AC89" s="98">
        <f>24+AC88</f>
        <v>36.730879671955066</v>
      </c>
      <c r="AE89" s="1" t="s">
        <v>293</v>
      </c>
      <c r="AF89" s="77">
        <f>G70</f>
        <v>21</v>
      </c>
      <c r="AH89" s="78"/>
      <c r="AI89" s="96">
        <f>AO84</f>
        <v>21</v>
      </c>
      <c r="AJ89" s="7" t="s">
        <v>277</v>
      </c>
      <c r="AK89" s="10">
        <f>IF(AK88=0,AK85,AK88)</f>
        <v>21.147219682695724</v>
      </c>
      <c r="AL89" s="1" t="s">
        <v>278</v>
      </c>
      <c r="AM89" s="71">
        <f>IF(AK86=1,AM88,AM79)</f>
        <v>0.14721968269572372</v>
      </c>
      <c r="AP89" s="78"/>
    </row>
    <row r="90" spans="1:42">
      <c r="A90" s="28"/>
      <c r="B90" s="28"/>
      <c r="C90" s="28"/>
      <c r="D90" s="28"/>
      <c r="E90" s="28"/>
      <c r="F90" s="28"/>
      <c r="G90" s="28"/>
      <c r="H90" s="28"/>
      <c r="I90" s="28"/>
      <c r="J90" s="28"/>
      <c r="K90" s="28"/>
      <c r="L90" s="28"/>
      <c r="M90" s="28"/>
      <c r="N90" s="6" t="s">
        <v>99</v>
      </c>
      <c r="O90" s="42">
        <f>IF(O89&gt;303,0,O89)</f>
        <v>0</v>
      </c>
      <c r="P90" s="61" t="s">
        <v>81</v>
      </c>
      <c r="Q90" s="61">
        <f>IF(O90&gt;0,R90,0)</f>
        <v>0</v>
      </c>
      <c r="R90" s="1">
        <v>6.5277776999999995E-2</v>
      </c>
      <c r="S90" s="7" t="s">
        <v>169</v>
      </c>
      <c r="T90" s="7">
        <f>IF(Q90&gt;0,U88,0)</f>
        <v>0</v>
      </c>
      <c r="U90" s="8">
        <f>(R90*31)+U88</f>
        <v>19.89518507</v>
      </c>
      <c r="AB90" s="1" t="s">
        <v>310</v>
      </c>
      <c r="AC90" s="10">
        <f>IF(AC89&gt;24,AC88,AC89)</f>
        <v>12.730879671955069</v>
      </c>
      <c r="AE90" s="1" t="s">
        <v>142</v>
      </c>
      <c r="AF90" s="77">
        <f>AI87</f>
        <v>7</v>
      </c>
      <c r="AH90" s="78"/>
      <c r="AI90" s="95" t="s">
        <v>120</v>
      </c>
      <c r="AJ90" s="90" t="s">
        <v>279</v>
      </c>
      <c r="AK90" s="10">
        <f>AK89</f>
        <v>21.147219682695724</v>
      </c>
      <c r="AM90" s="80"/>
      <c r="AP90" s="78"/>
    </row>
    <row r="91" spans="1:42">
      <c r="A91" s="28"/>
      <c r="B91" s="28"/>
      <c r="C91" s="28"/>
      <c r="D91" s="28"/>
      <c r="E91" s="28"/>
      <c r="F91" s="28"/>
      <c r="G91" s="28"/>
      <c r="H91" s="28"/>
      <c r="I91" s="28"/>
      <c r="J91" s="28"/>
      <c r="K91" s="28"/>
      <c r="L91" s="28"/>
      <c r="M91" s="28"/>
      <c r="N91" s="6" t="s">
        <v>100</v>
      </c>
      <c r="O91" s="7">
        <f>IF(O70&gt;303,O70,0)</f>
        <v>0</v>
      </c>
      <c r="P91" s="61"/>
      <c r="Q91" s="61"/>
      <c r="R91" s="7"/>
      <c r="S91" s="7"/>
      <c r="T91" s="7"/>
      <c r="U91" s="8"/>
      <c r="AB91" s="99" t="s">
        <v>311</v>
      </c>
      <c r="AC91" s="10">
        <f>AC90/24*0.065709818</f>
        <v>3.4855991092669472E-2</v>
      </c>
      <c r="AE91" s="1" t="s">
        <v>143</v>
      </c>
      <c r="AF91" s="77">
        <f>AI89</f>
        <v>21</v>
      </c>
      <c r="AH91" s="78"/>
      <c r="AI91" s="96">
        <f>AO87</f>
        <v>8.8331809617434232</v>
      </c>
      <c r="AJ91" s="1" t="s">
        <v>281</v>
      </c>
      <c r="AK91" s="14">
        <f>IF(AK90&gt;100,0,AK90)</f>
        <v>21.147219682695724</v>
      </c>
      <c r="AP91" s="78"/>
    </row>
    <row r="92" spans="1:42">
      <c r="A92" s="28"/>
      <c r="B92" s="28"/>
      <c r="C92" s="28"/>
      <c r="D92" s="28"/>
      <c r="E92" s="28"/>
      <c r="F92" s="28"/>
      <c r="G92" s="28"/>
      <c r="H92" s="28"/>
      <c r="I92" s="28"/>
      <c r="J92" s="28"/>
      <c r="K92" s="28"/>
      <c r="L92" s="28"/>
      <c r="M92" s="28"/>
      <c r="N92" s="6" t="s">
        <v>101</v>
      </c>
      <c r="O92" s="42">
        <f>IF(O91&gt;333,0,O91)</f>
        <v>0</v>
      </c>
      <c r="P92" s="61" t="s">
        <v>81</v>
      </c>
      <c r="Q92" s="61">
        <f>IF(O92&gt;0,R92,0)</f>
        <v>0</v>
      </c>
      <c r="R92" s="1">
        <v>6.5501792000000003E-2</v>
      </c>
      <c r="S92" s="7" t="s">
        <v>169</v>
      </c>
      <c r="T92" s="7">
        <f>IF(Q92&gt;0,U90,0)</f>
        <v>0</v>
      </c>
      <c r="U92" s="8">
        <f>(R92*30)+U90</f>
        <v>21.86023883</v>
      </c>
      <c r="AB92" s="1" t="s">
        <v>312</v>
      </c>
      <c r="AC92" s="100">
        <f>AC90+AC91</f>
        <v>12.765735663047739</v>
      </c>
      <c r="AE92" s="1" t="s">
        <v>120</v>
      </c>
      <c r="AF92" s="77">
        <f>AI91</f>
        <v>8.8331809617434232</v>
      </c>
      <c r="AH92" s="78"/>
      <c r="AI92" s="78"/>
      <c r="AJ92" s="78"/>
      <c r="AK92" s="78"/>
      <c r="AL92" s="78"/>
      <c r="AM92" s="78"/>
      <c r="AN92" s="78"/>
      <c r="AO92" s="78"/>
      <c r="AP92" s="78"/>
    </row>
    <row r="93" spans="1:42">
      <c r="E93" s="80"/>
      <c r="F93" s="80"/>
      <c r="G93" s="80"/>
      <c r="N93" s="6" t="s">
        <v>102</v>
      </c>
      <c r="O93" s="7">
        <f>IF(O70&gt;333,O70,0)</f>
        <v>0</v>
      </c>
      <c r="P93" s="61"/>
      <c r="Q93" s="61"/>
      <c r="R93" s="7"/>
      <c r="S93" s="7"/>
      <c r="T93" s="7"/>
      <c r="U93" s="8"/>
    </row>
    <row r="94" spans="1:42">
      <c r="N94" s="6" t="s">
        <v>103</v>
      </c>
      <c r="O94" s="42">
        <f>IF(O93&gt;364,0,O93)</f>
        <v>0</v>
      </c>
      <c r="P94" s="61"/>
      <c r="Q94" s="61">
        <f>IF(O94&gt;0,R94,0)</f>
        <v>0</v>
      </c>
      <c r="R94" s="1">
        <v>6.5770608999999994E-2</v>
      </c>
      <c r="S94" s="7" t="s">
        <v>169</v>
      </c>
      <c r="T94" s="7">
        <f>IF(Q94&gt;0,U92,0)</f>
        <v>0</v>
      </c>
      <c r="U94" s="8">
        <f>(R94*31)+U92</f>
        <v>23.899127708999998</v>
      </c>
      <c r="AB94" s="1" t="s">
        <v>313</v>
      </c>
      <c r="AC94" s="10"/>
      <c r="AE94" s="1" t="s">
        <v>139</v>
      </c>
      <c r="AF94" s="4">
        <v>2017</v>
      </c>
    </row>
    <row r="95" spans="1:42">
      <c r="N95" s="6"/>
      <c r="O95" s="7"/>
      <c r="P95" s="7" t="s">
        <v>104</v>
      </c>
      <c r="Q95" s="7"/>
      <c r="R95" s="7"/>
      <c r="S95" s="62" t="s">
        <v>170</v>
      </c>
      <c r="T95" s="7"/>
      <c r="U95" s="8"/>
      <c r="AB95" s="1" t="s">
        <v>314</v>
      </c>
      <c r="AE95" s="1" t="s">
        <v>138</v>
      </c>
      <c r="AF95" s="4">
        <v>23.907730000000001</v>
      </c>
      <c r="AH95" s="78"/>
      <c r="AI95" s="79" t="s">
        <v>314</v>
      </c>
      <c r="AJ95" s="78"/>
      <c r="AK95" s="78"/>
      <c r="AL95" s="78"/>
      <c r="AM95" s="78"/>
      <c r="AN95" s="78"/>
      <c r="AO95" s="78"/>
      <c r="AP95" s="78"/>
    </row>
    <row r="96" spans="1:42">
      <c r="N96" s="63"/>
      <c r="O96" s="64"/>
      <c r="P96" s="64" t="s">
        <v>297</v>
      </c>
      <c r="Q96" s="65">
        <f>SUM(Q72:Q94)</f>
        <v>6.5008960000000005E-2</v>
      </c>
      <c r="R96" s="64"/>
      <c r="S96" s="64" t="s">
        <v>298</v>
      </c>
      <c r="T96" s="66">
        <f>SUM(T74:T94)</f>
        <v>11.889629583000001</v>
      </c>
      <c r="U96" s="17"/>
      <c r="AB96" s="1" t="s">
        <v>315</v>
      </c>
      <c r="AC96" s="14">
        <f>AI172</f>
        <v>12</v>
      </c>
      <c r="AE96" s="1" t="s">
        <v>140</v>
      </c>
      <c r="AF96" s="4">
        <v>11</v>
      </c>
      <c r="AH96" s="78"/>
      <c r="AI96" s="80"/>
      <c r="AJ96" s="81" t="s">
        <v>206</v>
      </c>
      <c r="AK96" s="82">
        <f>AK134</f>
        <v>12.765735663047739</v>
      </c>
      <c r="AL96" s="80"/>
      <c r="AM96" s="80"/>
      <c r="AN96" s="80"/>
      <c r="AO96" s="80"/>
      <c r="AP96" s="78"/>
    </row>
    <row r="97" spans="28:42">
      <c r="AB97" s="1" t="s">
        <v>128</v>
      </c>
      <c r="AC97" s="14">
        <f>AI174</f>
        <v>45</v>
      </c>
      <c r="AE97" s="1" t="s">
        <v>141</v>
      </c>
      <c r="AF97" s="4">
        <v>25</v>
      </c>
      <c r="AH97" s="78"/>
      <c r="AI97" s="57"/>
      <c r="AJ97" s="57" t="s">
        <v>207</v>
      </c>
      <c r="AK97" s="76">
        <f>IF(AK96&lt;10,0,AK96)</f>
        <v>12.765735663047739</v>
      </c>
      <c r="AL97" s="83" t="s">
        <v>208</v>
      </c>
      <c r="AM97" s="57"/>
      <c r="AN97" s="57"/>
      <c r="AO97" s="57"/>
      <c r="AP97" s="78"/>
    </row>
    <row r="98" spans="28:42">
      <c r="AB98" s="1" t="s">
        <v>316</v>
      </c>
      <c r="AC98" s="14">
        <f>AI176</f>
        <v>56.648386971859566</v>
      </c>
      <c r="AE98" s="1" t="s">
        <v>142</v>
      </c>
      <c r="AF98" s="4">
        <v>22</v>
      </c>
      <c r="AH98" s="78"/>
      <c r="AJ98" s="1" t="s">
        <v>209</v>
      </c>
      <c r="AK98" s="68">
        <f>IF(AK97&lt;100,AK97,0)</f>
        <v>12.765735663047739</v>
      </c>
      <c r="AL98" s="1" t="s">
        <v>210</v>
      </c>
      <c r="AM98" s="84">
        <f t="shared" ref="AM98:AM106" si="4">IF(AK99=0,AK98,0)</f>
        <v>0</v>
      </c>
      <c r="AN98" s="1" t="s">
        <v>211</v>
      </c>
      <c r="AO98" s="85">
        <f>IF(AM98&gt;0,90,0)</f>
        <v>0</v>
      </c>
      <c r="AP98" s="78"/>
    </row>
    <row r="99" spans="28:42">
      <c r="AB99" s="80" t="s">
        <v>317</v>
      </c>
      <c r="AC99" s="10">
        <f>AC96/24*4</f>
        <v>2</v>
      </c>
      <c r="AE99" s="1" t="s">
        <v>143</v>
      </c>
      <c r="AF99" s="4">
        <v>10</v>
      </c>
      <c r="AH99" s="78"/>
      <c r="AJ99" s="1" t="s">
        <v>212</v>
      </c>
      <c r="AK99" s="68">
        <f>IF(AK97&lt;90,AK97,0)</f>
        <v>12.765735663047739</v>
      </c>
      <c r="AL99" s="1" t="s">
        <v>210</v>
      </c>
      <c r="AM99" s="84">
        <f t="shared" si="4"/>
        <v>0</v>
      </c>
      <c r="AN99" s="1" t="s">
        <v>213</v>
      </c>
      <c r="AO99" s="85">
        <f>IF(AM99&gt;0,80,0)</f>
        <v>0</v>
      </c>
      <c r="AP99" s="78"/>
    </row>
    <row r="100" spans="28:42">
      <c r="AB100" s="80" t="s">
        <v>318</v>
      </c>
      <c r="AC100" s="10">
        <f>IF(AC98&gt;30,1,0)</f>
        <v>1</v>
      </c>
      <c r="AH100" s="78"/>
      <c r="AJ100" s="1" t="s">
        <v>214</v>
      </c>
      <c r="AK100" s="68">
        <f>IF(AK97&lt;80,AK97,0)</f>
        <v>12.765735663047739</v>
      </c>
      <c r="AL100" s="1" t="s">
        <v>210</v>
      </c>
      <c r="AM100" s="84">
        <f t="shared" si="4"/>
        <v>0</v>
      </c>
      <c r="AN100" s="1" t="s">
        <v>215</v>
      </c>
      <c r="AO100" s="85">
        <f>IF(AM100&gt;0,70,0)</f>
        <v>0</v>
      </c>
      <c r="AP100" s="78"/>
    </row>
    <row r="101" spans="28:42">
      <c r="AB101" s="80" t="s">
        <v>319</v>
      </c>
      <c r="AC101" s="10">
        <f>AC100+AC97</f>
        <v>46</v>
      </c>
      <c r="AH101" s="78"/>
      <c r="AJ101" s="1" t="s">
        <v>216</v>
      </c>
      <c r="AK101" s="68">
        <f>IF(AK97&lt;70,AK97,0)</f>
        <v>12.765735663047739</v>
      </c>
      <c r="AL101" s="1" t="s">
        <v>210</v>
      </c>
      <c r="AM101" s="84">
        <f t="shared" si="4"/>
        <v>0</v>
      </c>
      <c r="AN101" s="1" t="s">
        <v>217</v>
      </c>
      <c r="AO101" s="85">
        <f>IF(AM101&gt;0,60,0)</f>
        <v>0</v>
      </c>
      <c r="AP101" s="78"/>
    </row>
    <row r="102" spans="28:42">
      <c r="AB102" s="80" t="s">
        <v>320</v>
      </c>
      <c r="AC102" s="10">
        <f>IF(AC101=60,1,0)</f>
        <v>0</v>
      </c>
      <c r="AH102" s="78"/>
      <c r="AJ102" s="1" t="s">
        <v>218</v>
      </c>
      <c r="AK102" s="68">
        <f>IF(AK97&lt;60,AK97,0)</f>
        <v>12.765735663047739</v>
      </c>
      <c r="AL102" s="1" t="s">
        <v>210</v>
      </c>
      <c r="AM102" s="84">
        <f t="shared" si="4"/>
        <v>0</v>
      </c>
      <c r="AN102" s="1" t="s">
        <v>219</v>
      </c>
      <c r="AO102" s="85">
        <f>IF(AM102&gt;0,50,0)</f>
        <v>0</v>
      </c>
      <c r="AP102" s="78"/>
    </row>
    <row r="103" spans="28:42">
      <c r="AB103" s="80" t="s">
        <v>321</v>
      </c>
      <c r="AC103" s="10">
        <f>AC96+AC102</f>
        <v>12</v>
      </c>
      <c r="AH103" s="78"/>
      <c r="AJ103" s="1" t="s">
        <v>220</v>
      </c>
      <c r="AK103" s="68">
        <f>IF(AK97&lt;50,AK97,0)</f>
        <v>12.765735663047739</v>
      </c>
      <c r="AL103" s="1" t="s">
        <v>210</v>
      </c>
      <c r="AM103" s="84">
        <f t="shared" si="4"/>
        <v>0</v>
      </c>
      <c r="AN103" s="1" t="s">
        <v>221</v>
      </c>
      <c r="AO103" s="85">
        <f>IF(AM103&gt;0,40,0)</f>
        <v>0</v>
      </c>
      <c r="AP103" s="78"/>
    </row>
    <row r="104" spans="28:42">
      <c r="AB104" s="80"/>
      <c r="AC104" s="10"/>
      <c r="AH104" s="78"/>
      <c r="AJ104" s="1" t="s">
        <v>222</v>
      </c>
      <c r="AK104" s="68">
        <f>IF(AK97&lt;40,AK97,0)</f>
        <v>12.765735663047739</v>
      </c>
      <c r="AL104" s="1" t="s">
        <v>210</v>
      </c>
      <c r="AM104" s="84">
        <f t="shared" si="4"/>
        <v>0</v>
      </c>
      <c r="AN104" s="1" t="s">
        <v>223</v>
      </c>
      <c r="AO104" s="85">
        <f>IF(AM104&gt;0,30,0)</f>
        <v>0</v>
      </c>
      <c r="AP104" s="78"/>
    </row>
    <row r="105" spans="28:42">
      <c r="AH105" s="78"/>
      <c r="AJ105" s="1" t="s">
        <v>224</v>
      </c>
      <c r="AK105" s="68">
        <f>IF(AK97&lt;30,AK97,0)</f>
        <v>12.765735663047739</v>
      </c>
      <c r="AL105" s="1" t="s">
        <v>210</v>
      </c>
      <c r="AM105" s="84">
        <f t="shared" si="4"/>
        <v>0</v>
      </c>
      <c r="AN105" s="1" t="s">
        <v>225</v>
      </c>
      <c r="AO105" s="85">
        <f>IF(AM105&gt;0,20,0)</f>
        <v>0</v>
      </c>
      <c r="AP105" s="78"/>
    </row>
    <row r="106" spans="28:42">
      <c r="AB106" s="1" t="s">
        <v>318</v>
      </c>
      <c r="AC106" s="1">
        <f>IF(AC98&gt;30,1,0)</f>
        <v>1</v>
      </c>
      <c r="AH106" s="78"/>
      <c r="AJ106" s="1" t="s">
        <v>226</v>
      </c>
      <c r="AK106" s="68">
        <f>IF(AK97&lt;20,AK97,0)</f>
        <v>12.765735663047739</v>
      </c>
      <c r="AL106" s="1" t="s">
        <v>210</v>
      </c>
      <c r="AM106" s="84">
        <f t="shared" si="4"/>
        <v>12.765735663047739</v>
      </c>
      <c r="AN106" s="1" t="s">
        <v>227</v>
      </c>
      <c r="AO106" s="85">
        <f>IF(AM106&gt;0,10,0)</f>
        <v>10</v>
      </c>
      <c r="AP106" s="78"/>
    </row>
    <row r="107" spans="28:42">
      <c r="AB107" s="1" t="s">
        <v>319</v>
      </c>
      <c r="AC107" s="101">
        <f>AC106+AC97</f>
        <v>46</v>
      </c>
      <c r="AH107" s="78"/>
      <c r="AJ107" s="1" t="s">
        <v>228</v>
      </c>
      <c r="AK107" s="68">
        <f>IF(AK97&lt;10,AK97,0)</f>
        <v>0</v>
      </c>
      <c r="AL107" s="1" t="s">
        <v>229</v>
      </c>
      <c r="AM107" s="84">
        <f>AM98+AM99+AM100+AM101+AM102+AM103+AM104+AM105+AM106</f>
        <v>12.765735663047739</v>
      </c>
      <c r="AN107" s="1" t="s">
        <v>229</v>
      </c>
      <c r="AO107" s="85">
        <f>AO98+AO99+AO100+AO101+AO102+AO103+AO104+AO105+AO106</f>
        <v>10</v>
      </c>
      <c r="AP107" s="78"/>
    </row>
    <row r="108" spans="28:42">
      <c r="AB108" s="1" t="s">
        <v>324</v>
      </c>
      <c r="AC108" s="102">
        <f>IF(AC107=60,0,AC107)</f>
        <v>46</v>
      </c>
      <c r="AH108" s="78"/>
      <c r="AL108" s="1" t="s">
        <v>230</v>
      </c>
      <c r="AM108" s="71">
        <f>AM107-AO107</f>
        <v>2.7657356630477388</v>
      </c>
      <c r="AP108" s="78"/>
    </row>
    <row r="109" spans="28:42">
      <c r="AB109" s="1" t="s">
        <v>322</v>
      </c>
      <c r="AC109" s="1">
        <f>IF(AC107=60,1,0)</f>
        <v>0</v>
      </c>
      <c r="AH109" s="78"/>
      <c r="AI109" s="80"/>
      <c r="AJ109" s="80" t="s">
        <v>231</v>
      </c>
      <c r="AK109" s="4">
        <f>AK134</f>
        <v>12.765735663047739</v>
      </c>
      <c r="AM109" s="80"/>
      <c r="AP109" s="78"/>
    </row>
    <row r="110" spans="28:42">
      <c r="AB110" s="1" t="s">
        <v>323</v>
      </c>
      <c r="AC110" s="1">
        <f>AC109+AC96</f>
        <v>12</v>
      </c>
      <c r="AH110" s="78"/>
      <c r="AJ110" s="57" t="s">
        <v>232</v>
      </c>
      <c r="AK110" s="76">
        <f>IF(AK109&lt;10,AK109,AM108)</f>
        <v>2.7657356630477388</v>
      </c>
      <c r="AL110" s="83" t="s">
        <v>233</v>
      </c>
      <c r="AM110" s="57"/>
      <c r="AN110" s="57"/>
      <c r="AO110" s="57"/>
      <c r="AP110" s="78"/>
    </row>
    <row r="111" spans="28:42">
      <c r="AB111" s="1" t="s">
        <v>325</v>
      </c>
      <c r="AC111" s="102">
        <f>IF(AC110=24,0,AC110)</f>
        <v>12</v>
      </c>
      <c r="AH111" s="78"/>
      <c r="AJ111" s="1" t="s">
        <v>228</v>
      </c>
      <c r="AK111" s="68">
        <f>IF(AK110&lt;10,AK110,0)</f>
        <v>2.7657356630477388</v>
      </c>
      <c r="AL111" s="1" t="s">
        <v>210</v>
      </c>
      <c r="AM111" s="1">
        <f t="shared" ref="AM111:AM119" si="5">IF(AK112=0,AK111,0)</f>
        <v>0</v>
      </c>
      <c r="AN111" s="1" t="s">
        <v>234</v>
      </c>
      <c r="AO111" s="85">
        <f>IF(AM111&gt;0,9,0)</f>
        <v>0</v>
      </c>
      <c r="AP111" s="78"/>
    </row>
    <row r="112" spans="28:42">
      <c r="AH112" s="78"/>
      <c r="AI112" s="1" t="s">
        <v>235</v>
      </c>
      <c r="AJ112" s="1" t="s">
        <v>236</v>
      </c>
      <c r="AK112" s="68">
        <f>IF(AK110&lt;9,AK110,0)</f>
        <v>2.7657356630477388</v>
      </c>
      <c r="AL112" s="1" t="s">
        <v>210</v>
      </c>
      <c r="AM112" s="1">
        <f t="shared" si="5"/>
        <v>0</v>
      </c>
      <c r="AN112" s="1" t="s">
        <v>237</v>
      </c>
      <c r="AO112" s="85">
        <f>IF(AM112&gt;0,8,0)</f>
        <v>0</v>
      </c>
      <c r="AP112" s="78"/>
    </row>
    <row r="113" spans="34:42">
      <c r="AH113" s="78"/>
      <c r="AJ113" s="1" t="s">
        <v>238</v>
      </c>
      <c r="AK113" s="68">
        <f>IF(AK110&lt;8,AK110,0)</f>
        <v>2.7657356630477388</v>
      </c>
      <c r="AL113" s="1" t="s">
        <v>210</v>
      </c>
      <c r="AM113" s="1">
        <f t="shared" si="5"/>
        <v>0</v>
      </c>
      <c r="AN113" s="1" t="s">
        <v>239</v>
      </c>
      <c r="AO113" s="85">
        <f>IF(AM113&gt;0,7,0)</f>
        <v>0</v>
      </c>
      <c r="AP113" s="78"/>
    </row>
    <row r="114" spans="34:42">
      <c r="AH114" s="78"/>
      <c r="AJ114" s="1" t="s">
        <v>240</v>
      </c>
      <c r="AK114" s="68">
        <f>IF(AK110&lt;7,AK110,0)</f>
        <v>2.7657356630477388</v>
      </c>
      <c r="AL114" s="1" t="s">
        <v>210</v>
      </c>
      <c r="AM114" s="1">
        <f t="shared" si="5"/>
        <v>0</v>
      </c>
      <c r="AN114" s="1" t="s">
        <v>241</v>
      </c>
      <c r="AO114" s="85">
        <f>IF(AM114&gt;0,6,0)</f>
        <v>0</v>
      </c>
      <c r="AP114" s="78"/>
    </row>
    <row r="115" spans="34:42">
      <c r="AH115" s="78"/>
      <c r="AJ115" s="1" t="s">
        <v>242</v>
      </c>
      <c r="AK115" s="68">
        <f>IF(AK110&lt;6,AK110,0)</f>
        <v>2.7657356630477388</v>
      </c>
      <c r="AL115" s="1" t="s">
        <v>210</v>
      </c>
      <c r="AM115" s="1">
        <f t="shared" si="5"/>
        <v>0</v>
      </c>
      <c r="AN115" s="1" t="s">
        <v>243</v>
      </c>
      <c r="AO115" s="85">
        <f>IF(AM115&gt;0,5,0)</f>
        <v>0</v>
      </c>
      <c r="AP115" s="78"/>
    </row>
    <row r="116" spans="34:42">
      <c r="AH116" s="78"/>
      <c r="AJ116" s="1" t="s">
        <v>244</v>
      </c>
      <c r="AK116" s="68">
        <f>IF(AK110&lt;5,AK110,0)</f>
        <v>2.7657356630477388</v>
      </c>
      <c r="AL116" s="1" t="s">
        <v>210</v>
      </c>
      <c r="AM116" s="1">
        <f t="shared" si="5"/>
        <v>0</v>
      </c>
      <c r="AN116" s="1" t="s">
        <v>245</v>
      </c>
      <c r="AO116" s="85">
        <f>IF(AM116&gt;0,4,0)</f>
        <v>0</v>
      </c>
      <c r="AP116" s="78"/>
    </row>
    <row r="117" spans="34:42">
      <c r="AH117" s="78"/>
      <c r="AJ117" s="1" t="s">
        <v>246</v>
      </c>
      <c r="AK117" s="68">
        <f>IF(AK110&lt;4,AK110,0)</f>
        <v>2.7657356630477388</v>
      </c>
      <c r="AL117" s="1" t="s">
        <v>210</v>
      </c>
      <c r="AM117" s="1">
        <f t="shared" si="5"/>
        <v>0</v>
      </c>
      <c r="AN117" s="1" t="s">
        <v>247</v>
      </c>
      <c r="AO117" s="85">
        <f>IF(AM117&gt;0,3,0)</f>
        <v>0</v>
      </c>
      <c r="AP117" s="78"/>
    </row>
    <row r="118" spans="34:42">
      <c r="AH118" s="78"/>
      <c r="AJ118" s="1" t="s">
        <v>248</v>
      </c>
      <c r="AK118" s="68">
        <f>IF(AK110&lt;3,AK110,0)</f>
        <v>2.7657356630477388</v>
      </c>
      <c r="AL118" s="1" t="s">
        <v>210</v>
      </c>
      <c r="AM118" s="1">
        <f t="shared" si="5"/>
        <v>2.7657356630477388</v>
      </c>
      <c r="AN118" s="1" t="s">
        <v>249</v>
      </c>
      <c r="AO118" s="85">
        <f>IF(AM118&gt;0,2,0)</f>
        <v>2</v>
      </c>
      <c r="AP118" s="78"/>
    </row>
    <row r="119" spans="34:42">
      <c r="AH119" s="78"/>
      <c r="AJ119" s="1" t="s">
        <v>250</v>
      </c>
      <c r="AK119" s="68">
        <f>IF(AK110&lt;2,AK110,0)</f>
        <v>0</v>
      </c>
      <c r="AL119" s="1" t="s">
        <v>210</v>
      </c>
      <c r="AM119" s="1">
        <f t="shared" si="5"/>
        <v>0</v>
      </c>
      <c r="AN119" s="1" t="s">
        <v>251</v>
      </c>
      <c r="AO119" s="85">
        <f>IF(AM119&gt;0,1,0)</f>
        <v>0</v>
      </c>
      <c r="AP119" s="78"/>
    </row>
    <row r="120" spans="34:42">
      <c r="AH120" s="78"/>
      <c r="AJ120" s="1" t="s">
        <v>252</v>
      </c>
      <c r="AK120" s="68">
        <f>IF(AK110&lt;1,AK110,0)</f>
        <v>0</v>
      </c>
      <c r="AL120" s="1" t="s">
        <v>253</v>
      </c>
      <c r="AM120" s="71">
        <f>AK110-AO120</f>
        <v>0.76573566304773877</v>
      </c>
      <c r="AN120" s="1" t="s">
        <v>254</v>
      </c>
      <c r="AO120" s="71">
        <f>AO111+AO112+AO113+AO114+AO115+AO116+AO117+AO118+AO119</f>
        <v>2</v>
      </c>
      <c r="AP120" s="78"/>
    </row>
    <row r="121" spans="34:42">
      <c r="AH121" s="78"/>
      <c r="AP121" s="78"/>
    </row>
    <row r="122" spans="34:42">
      <c r="AH122" s="78"/>
      <c r="AJ122" s="86" t="s">
        <v>255</v>
      </c>
      <c r="AK122" s="87"/>
      <c r="AL122" s="2" t="s">
        <v>256</v>
      </c>
      <c r="AN122" s="2" t="s">
        <v>257</v>
      </c>
      <c r="AP122" s="78"/>
    </row>
    <row r="123" spans="34:42">
      <c r="AH123" s="78"/>
      <c r="AJ123" s="10" t="s">
        <v>258</v>
      </c>
      <c r="AK123" s="10"/>
      <c r="AL123" s="2" t="s">
        <v>259</v>
      </c>
      <c r="AN123" s="1" t="s">
        <v>260</v>
      </c>
      <c r="AO123" s="71">
        <f>60*AM132</f>
        <v>45.944139782864326</v>
      </c>
      <c r="AP123" s="78"/>
    </row>
    <row r="124" spans="34:42">
      <c r="AH124" s="78"/>
      <c r="AJ124" s="10" t="s">
        <v>261</v>
      </c>
      <c r="AK124" s="7"/>
      <c r="AL124" s="1" t="s">
        <v>262</v>
      </c>
      <c r="AM124" s="1">
        <f>AK134-AM120</f>
        <v>12</v>
      </c>
      <c r="AN124" s="1" t="s">
        <v>263</v>
      </c>
      <c r="AP124" s="78"/>
    </row>
    <row r="125" spans="34:42">
      <c r="AH125" s="78"/>
      <c r="AJ125" s="88" t="s">
        <v>264</v>
      </c>
      <c r="AK125" s="4">
        <f>AI164</f>
        <v>12.765735663047739</v>
      </c>
      <c r="AL125" s="1" t="s">
        <v>265</v>
      </c>
      <c r="AM125" s="1">
        <f>IF(AK129=1,AM124,0)</f>
        <v>0</v>
      </c>
      <c r="AN125" s="1" t="s">
        <v>266</v>
      </c>
      <c r="AP125" s="78"/>
    </row>
    <row r="126" spans="34:42">
      <c r="AH126" s="78"/>
      <c r="AJ126" s="7" t="s">
        <v>267</v>
      </c>
      <c r="AK126" s="7" t="b">
        <f>ISNUMBER(AK125)</f>
        <v>1</v>
      </c>
      <c r="AL126" s="1" t="s">
        <v>268</v>
      </c>
      <c r="AM126" s="1">
        <f>-1*AM125</f>
        <v>0</v>
      </c>
      <c r="AP126" s="78"/>
    </row>
    <row r="127" spans="34:42">
      <c r="AH127" s="78"/>
      <c r="AJ127" s="7" t="s">
        <v>269</v>
      </c>
      <c r="AK127" s="7">
        <f>AK126*1</f>
        <v>1</v>
      </c>
      <c r="AL127" s="1" t="s">
        <v>270</v>
      </c>
      <c r="AM127" s="71">
        <f>IF(AK129=1,AM126,AM124)</f>
        <v>12</v>
      </c>
      <c r="AP127" s="78"/>
    </row>
    <row r="128" spans="34:42">
      <c r="AH128" s="78"/>
      <c r="AJ128" s="7" t="s">
        <v>271</v>
      </c>
      <c r="AK128" s="10">
        <f>IF(AK127=1,AK125,0)</f>
        <v>12.765735663047739</v>
      </c>
      <c r="AL128" s="1" t="s">
        <v>200</v>
      </c>
      <c r="AM128" s="80"/>
      <c r="AP128" s="78"/>
    </row>
    <row r="129" spans="34:42">
      <c r="AH129" s="78"/>
      <c r="AJ129" s="89" t="s">
        <v>272</v>
      </c>
      <c r="AK129" s="89">
        <f>IF(AK128&lt;0,1,0)</f>
        <v>0</v>
      </c>
      <c r="AL129" s="2" t="s">
        <v>273</v>
      </c>
      <c r="AP129" s="78"/>
    </row>
    <row r="130" spans="34:42">
      <c r="AH130" s="78"/>
      <c r="AJ130" s="7" t="s">
        <v>274</v>
      </c>
      <c r="AK130" s="7">
        <f>IF(AK129=1,AK128,0)</f>
        <v>0</v>
      </c>
      <c r="AL130" s="1" t="s">
        <v>275</v>
      </c>
      <c r="AM130" s="1">
        <f>IF(AK129=1,AM120,0)</f>
        <v>0</v>
      </c>
      <c r="AP130" s="78"/>
    </row>
    <row r="131" spans="34:42">
      <c r="AH131" s="78"/>
      <c r="AJ131" s="7" t="s">
        <v>276</v>
      </c>
      <c r="AK131" s="7">
        <f>AK130*-1</f>
        <v>0</v>
      </c>
      <c r="AL131" s="1" t="s">
        <v>268</v>
      </c>
      <c r="AM131" s="1">
        <f>-1*AM130</f>
        <v>0</v>
      </c>
      <c r="AP131" s="78"/>
    </row>
    <row r="132" spans="34:42">
      <c r="AH132" s="78"/>
      <c r="AJ132" s="7" t="s">
        <v>277</v>
      </c>
      <c r="AK132" s="10">
        <f>IF(AK131=0,AK128,AK131)</f>
        <v>12.765735663047739</v>
      </c>
      <c r="AL132" s="1" t="s">
        <v>278</v>
      </c>
      <c r="AM132" s="71">
        <f>IF(AK129=1,AM131,AM120)</f>
        <v>0.76573566304773877</v>
      </c>
      <c r="AP132" s="78"/>
    </row>
    <row r="133" spans="34:42">
      <c r="AH133" s="78"/>
      <c r="AJ133" s="90" t="s">
        <v>279</v>
      </c>
      <c r="AK133" s="10">
        <f>AK132</f>
        <v>12.765735663047739</v>
      </c>
      <c r="AL133" s="1" t="s">
        <v>280</v>
      </c>
      <c r="AM133" s="80"/>
      <c r="AP133" s="78"/>
    </row>
    <row r="134" spans="34:42">
      <c r="AH134" s="78"/>
      <c r="AJ134" s="1" t="s">
        <v>281</v>
      </c>
      <c r="AK134" s="14">
        <f>IF(AK133&gt;100,0,AK133)</f>
        <v>12.765735663047739</v>
      </c>
      <c r="AP134" s="78"/>
    </row>
    <row r="135" spans="34:42">
      <c r="AH135" s="78"/>
      <c r="AI135" s="78"/>
      <c r="AJ135" s="78"/>
      <c r="AK135" s="78"/>
      <c r="AL135" s="78"/>
      <c r="AM135" s="78"/>
      <c r="AN135" s="78"/>
      <c r="AO135" s="78"/>
      <c r="AP135" s="78"/>
    </row>
    <row r="136" spans="34:42">
      <c r="AH136" s="78"/>
      <c r="AI136" s="80"/>
      <c r="AJ136" s="81" t="s">
        <v>206</v>
      </c>
      <c r="AK136" s="82">
        <f>AK176</f>
        <v>45.944139782864326</v>
      </c>
      <c r="AL136" s="80"/>
      <c r="AM136" s="80"/>
      <c r="AN136" s="80"/>
      <c r="AO136" s="80"/>
      <c r="AP136" s="78"/>
    </row>
    <row r="137" spans="34:42">
      <c r="AH137" s="78"/>
      <c r="AI137" s="57"/>
      <c r="AJ137" s="57" t="s">
        <v>207</v>
      </c>
      <c r="AK137" s="76">
        <f>IF(AK136&lt;10,0,AK136)</f>
        <v>45.944139782864326</v>
      </c>
      <c r="AL137" s="83" t="s">
        <v>208</v>
      </c>
      <c r="AM137" s="57"/>
      <c r="AN137" s="57"/>
      <c r="AO137" s="57"/>
      <c r="AP137" s="78"/>
    </row>
    <row r="138" spans="34:42">
      <c r="AH138" s="78"/>
      <c r="AJ138" s="1" t="s">
        <v>209</v>
      </c>
      <c r="AK138" s="68">
        <f>IF(AK137&lt;100,AK137,0)</f>
        <v>45.944139782864326</v>
      </c>
      <c r="AL138" s="1" t="s">
        <v>210</v>
      </c>
      <c r="AM138" s="84">
        <f t="shared" ref="AM138:AM146" si="6">IF(AK139=0,AK138,0)</f>
        <v>0</v>
      </c>
      <c r="AN138" s="1" t="s">
        <v>211</v>
      </c>
      <c r="AO138" s="85">
        <f>IF(AM138&gt;0,90,0)</f>
        <v>0</v>
      </c>
      <c r="AP138" s="78"/>
    </row>
    <row r="139" spans="34:42">
      <c r="AH139" s="78"/>
      <c r="AJ139" s="1" t="s">
        <v>212</v>
      </c>
      <c r="AK139" s="68">
        <f>IF(AK137&lt;90,AK137,0)</f>
        <v>45.944139782864326</v>
      </c>
      <c r="AL139" s="1" t="s">
        <v>210</v>
      </c>
      <c r="AM139" s="84">
        <f t="shared" si="6"/>
        <v>0</v>
      </c>
      <c r="AN139" s="1" t="s">
        <v>213</v>
      </c>
      <c r="AO139" s="85">
        <f>IF(AM139&gt;0,80,0)</f>
        <v>0</v>
      </c>
      <c r="AP139" s="78"/>
    </row>
    <row r="140" spans="34:42">
      <c r="AH140" s="78"/>
      <c r="AJ140" s="1" t="s">
        <v>214</v>
      </c>
      <c r="AK140" s="68">
        <f>IF(AK137&lt;80,AK137,0)</f>
        <v>45.944139782864326</v>
      </c>
      <c r="AL140" s="1" t="s">
        <v>210</v>
      </c>
      <c r="AM140" s="84">
        <f t="shared" si="6"/>
        <v>0</v>
      </c>
      <c r="AN140" s="1" t="s">
        <v>215</v>
      </c>
      <c r="AO140" s="85">
        <f>IF(AM140&gt;0,70,0)</f>
        <v>0</v>
      </c>
      <c r="AP140" s="78"/>
    </row>
    <row r="141" spans="34:42">
      <c r="AH141" s="78"/>
      <c r="AJ141" s="1" t="s">
        <v>216</v>
      </c>
      <c r="AK141" s="68">
        <f>IF(AK137&lt;70,AK137,0)</f>
        <v>45.944139782864326</v>
      </c>
      <c r="AL141" s="1" t="s">
        <v>210</v>
      </c>
      <c r="AM141" s="84">
        <f t="shared" si="6"/>
        <v>0</v>
      </c>
      <c r="AN141" s="1" t="s">
        <v>217</v>
      </c>
      <c r="AO141" s="85">
        <f>IF(AM141&gt;0,60,0)</f>
        <v>0</v>
      </c>
      <c r="AP141" s="78"/>
    </row>
    <row r="142" spans="34:42">
      <c r="AH142" s="78"/>
      <c r="AJ142" s="1" t="s">
        <v>218</v>
      </c>
      <c r="AK142" s="68">
        <f>IF(AK137&lt;60,AK137,0)</f>
        <v>45.944139782864326</v>
      </c>
      <c r="AL142" s="1" t="s">
        <v>210</v>
      </c>
      <c r="AM142" s="84">
        <f t="shared" si="6"/>
        <v>0</v>
      </c>
      <c r="AN142" s="1" t="s">
        <v>219</v>
      </c>
      <c r="AO142" s="85">
        <f>IF(AM142&gt;0,50,0)</f>
        <v>0</v>
      </c>
      <c r="AP142" s="78"/>
    </row>
    <row r="143" spans="34:42">
      <c r="AH143" s="78"/>
      <c r="AJ143" s="1" t="s">
        <v>220</v>
      </c>
      <c r="AK143" s="68">
        <f>IF(AK137&lt;50,AK137,0)</f>
        <v>45.944139782864326</v>
      </c>
      <c r="AL143" s="1" t="s">
        <v>210</v>
      </c>
      <c r="AM143" s="84">
        <f t="shared" si="6"/>
        <v>45.944139782864326</v>
      </c>
      <c r="AN143" s="1" t="s">
        <v>221</v>
      </c>
      <c r="AO143" s="85">
        <f>IF(AM143&gt;0,40,0)</f>
        <v>40</v>
      </c>
      <c r="AP143" s="78"/>
    </row>
    <row r="144" spans="34:42">
      <c r="AH144" s="78"/>
      <c r="AJ144" s="1" t="s">
        <v>222</v>
      </c>
      <c r="AK144" s="68">
        <f>IF(AK137&lt;40,AK137,0)</f>
        <v>0</v>
      </c>
      <c r="AL144" s="1" t="s">
        <v>210</v>
      </c>
      <c r="AM144" s="84">
        <f t="shared" si="6"/>
        <v>0</v>
      </c>
      <c r="AN144" s="1" t="s">
        <v>223</v>
      </c>
      <c r="AO144" s="85">
        <f>IF(AM144&gt;0,30,0)</f>
        <v>0</v>
      </c>
      <c r="AP144" s="78"/>
    </row>
    <row r="145" spans="34:42">
      <c r="AH145" s="78"/>
      <c r="AJ145" s="1" t="s">
        <v>224</v>
      </c>
      <c r="AK145" s="68">
        <f>IF(AK137&lt;30,AK137,0)</f>
        <v>0</v>
      </c>
      <c r="AL145" s="1" t="s">
        <v>210</v>
      </c>
      <c r="AM145" s="84">
        <f t="shared" si="6"/>
        <v>0</v>
      </c>
      <c r="AN145" s="1" t="s">
        <v>225</v>
      </c>
      <c r="AO145" s="85">
        <f>IF(AM145&gt;0,20,0)</f>
        <v>0</v>
      </c>
      <c r="AP145" s="78"/>
    </row>
    <row r="146" spans="34:42">
      <c r="AH146" s="78"/>
      <c r="AJ146" s="1" t="s">
        <v>226</v>
      </c>
      <c r="AK146" s="68">
        <f>IF(AK137&lt;20,AK137,0)</f>
        <v>0</v>
      </c>
      <c r="AL146" s="1" t="s">
        <v>210</v>
      </c>
      <c r="AM146" s="84">
        <f t="shared" si="6"/>
        <v>0</v>
      </c>
      <c r="AN146" s="1" t="s">
        <v>227</v>
      </c>
      <c r="AO146" s="85">
        <f>IF(AM146&gt;0,10,0)</f>
        <v>0</v>
      </c>
      <c r="AP146" s="78"/>
    </row>
    <row r="147" spans="34:42">
      <c r="AH147" s="78"/>
      <c r="AJ147" s="1" t="s">
        <v>228</v>
      </c>
      <c r="AK147" s="68">
        <f>IF(AK137&lt;10,AK137,0)</f>
        <v>0</v>
      </c>
      <c r="AL147" s="1" t="s">
        <v>229</v>
      </c>
      <c r="AM147" s="84">
        <f>AM138+AM139+AM140+AM141+AM142+AM143+AM144+AM145+AM146</f>
        <v>45.944139782864326</v>
      </c>
      <c r="AN147" s="1" t="s">
        <v>229</v>
      </c>
      <c r="AO147" s="85">
        <f>AO138+AO139+AO140+AO141+AO142+AO143+AO144+AO145+AO146</f>
        <v>40</v>
      </c>
      <c r="AP147" s="78"/>
    </row>
    <row r="148" spans="34:42">
      <c r="AH148" s="78"/>
      <c r="AL148" s="1" t="s">
        <v>230</v>
      </c>
      <c r="AM148" s="71">
        <f>AM147-AO147</f>
        <v>5.9441397828643261</v>
      </c>
      <c r="AP148" s="78"/>
    </row>
    <row r="149" spans="34:42">
      <c r="AH149" s="78"/>
      <c r="AM149" s="71"/>
      <c r="AP149" s="78"/>
    </row>
    <row r="150" spans="34:42">
      <c r="AH150" s="78"/>
      <c r="AI150" s="80"/>
      <c r="AJ150" s="80" t="s">
        <v>231</v>
      </c>
      <c r="AK150" s="4">
        <f>AK176</f>
        <v>45.944139782864326</v>
      </c>
      <c r="AM150" s="80"/>
      <c r="AP150" s="78"/>
    </row>
    <row r="151" spans="34:42">
      <c r="AH151" s="78"/>
      <c r="AJ151" s="57" t="s">
        <v>232</v>
      </c>
      <c r="AK151" s="76">
        <f>IF(AK150&lt;10,AK150,AM148)</f>
        <v>5.9441397828643261</v>
      </c>
      <c r="AL151" s="83" t="s">
        <v>233</v>
      </c>
      <c r="AM151" s="57"/>
      <c r="AN151" s="57"/>
      <c r="AO151" s="57"/>
      <c r="AP151" s="78"/>
    </row>
    <row r="152" spans="34:42">
      <c r="AH152" s="78"/>
      <c r="AJ152" s="1" t="s">
        <v>228</v>
      </c>
      <c r="AK152" s="68">
        <f>IF(AK151&lt;10,AK151,0)</f>
        <v>5.9441397828643261</v>
      </c>
      <c r="AL152" s="1" t="s">
        <v>210</v>
      </c>
      <c r="AM152" s="1">
        <f t="shared" ref="AM152:AM160" si="7">IF(AK153=0,AK152,0)</f>
        <v>0</v>
      </c>
      <c r="AN152" s="1" t="s">
        <v>234</v>
      </c>
      <c r="AO152" s="85">
        <f>IF(AM152&gt;0,9,0)</f>
        <v>0</v>
      </c>
      <c r="AP152" s="78"/>
    </row>
    <row r="153" spans="34:42">
      <c r="AH153" s="78"/>
      <c r="AJ153" s="1" t="s">
        <v>236</v>
      </c>
      <c r="AK153" s="68">
        <f>IF(AK151&lt;9,AK151,0)</f>
        <v>5.9441397828643261</v>
      </c>
      <c r="AL153" s="1" t="s">
        <v>210</v>
      </c>
      <c r="AM153" s="1">
        <f t="shared" si="7"/>
        <v>0</v>
      </c>
      <c r="AN153" s="1" t="s">
        <v>237</v>
      </c>
      <c r="AO153" s="85">
        <f>IF(AM153&gt;0,8,0)</f>
        <v>0</v>
      </c>
      <c r="AP153" s="78"/>
    </row>
    <row r="154" spans="34:42">
      <c r="AH154" s="78"/>
      <c r="AJ154" s="1" t="s">
        <v>238</v>
      </c>
      <c r="AK154" s="68">
        <f>IF(AK151&lt;8,AK151,0)</f>
        <v>5.9441397828643261</v>
      </c>
      <c r="AL154" s="1" t="s">
        <v>210</v>
      </c>
      <c r="AM154" s="1">
        <f t="shared" si="7"/>
        <v>0</v>
      </c>
      <c r="AN154" s="1" t="s">
        <v>239</v>
      </c>
      <c r="AO154" s="85">
        <f>IF(AM154&gt;0,7,0)</f>
        <v>0</v>
      </c>
      <c r="AP154" s="78"/>
    </row>
    <row r="155" spans="34:42">
      <c r="AH155" s="78"/>
      <c r="AJ155" s="1" t="s">
        <v>240</v>
      </c>
      <c r="AK155" s="68">
        <f>IF(AK151&lt;7,AK151,0)</f>
        <v>5.9441397828643261</v>
      </c>
      <c r="AL155" s="1" t="s">
        <v>210</v>
      </c>
      <c r="AM155" s="1">
        <f t="shared" si="7"/>
        <v>0</v>
      </c>
      <c r="AN155" s="1" t="s">
        <v>241</v>
      </c>
      <c r="AO155" s="85">
        <f>IF(AM155&gt;0,6,0)</f>
        <v>0</v>
      </c>
      <c r="AP155" s="78"/>
    </row>
    <row r="156" spans="34:42">
      <c r="AH156" s="78"/>
      <c r="AJ156" s="1" t="s">
        <v>242</v>
      </c>
      <c r="AK156" s="68">
        <f>IF(AK151&lt;6,AK151,0)</f>
        <v>5.9441397828643261</v>
      </c>
      <c r="AL156" s="1" t="s">
        <v>210</v>
      </c>
      <c r="AM156" s="1">
        <f t="shared" si="7"/>
        <v>5.9441397828643261</v>
      </c>
      <c r="AN156" s="1" t="s">
        <v>243</v>
      </c>
      <c r="AO156" s="85">
        <f>IF(AM156&gt;0,5,0)</f>
        <v>5</v>
      </c>
      <c r="AP156" s="78"/>
    </row>
    <row r="157" spans="34:42">
      <c r="AH157" s="78"/>
      <c r="AJ157" s="1" t="s">
        <v>244</v>
      </c>
      <c r="AK157" s="68">
        <f>IF(AK151&lt;5,AK151,0)</f>
        <v>0</v>
      </c>
      <c r="AL157" s="1" t="s">
        <v>210</v>
      </c>
      <c r="AM157" s="1">
        <f t="shared" si="7"/>
        <v>0</v>
      </c>
      <c r="AN157" s="1" t="s">
        <v>245</v>
      </c>
      <c r="AO157" s="85">
        <f>IF(AM157&gt;0,4,0)</f>
        <v>0</v>
      </c>
      <c r="AP157" s="78"/>
    </row>
    <row r="158" spans="34:42">
      <c r="AH158" s="78"/>
      <c r="AJ158" s="1" t="s">
        <v>246</v>
      </c>
      <c r="AK158" s="68">
        <f>IF(AK151&lt;4,AK151,0)</f>
        <v>0</v>
      </c>
      <c r="AL158" s="1" t="s">
        <v>210</v>
      </c>
      <c r="AM158" s="1">
        <f t="shared" si="7"/>
        <v>0</v>
      </c>
      <c r="AN158" s="1" t="s">
        <v>247</v>
      </c>
      <c r="AO158" s="85">
        <f>IF(AM158&gt;0,3,0)</f>
        <v>0</v>
      </c>
      <c r="AP158" s="78"/>
    </row>
    <row r="159" spans="34:42">
      <c r="AH159" s="78"/>
      <c r="AJ159" s="1" t="s">
        <v>248</v>
      </c>
      <c r="AK159" s="68">
        <f>IF(AK151&lt;3,AK151,0)</f>
        <v>0</v>
      </c>
      <c r="AL159" s="1" t="s">
        <v>210</v>
      </c>
      <c r="AM159" s="1">
        <f t="shared" si="7"/>
        <v>0</v>
      </c>
      <c r="AN159" s="1" t="s">
        <v>249</v>
      </c>
      <c r="AO159" s="85">
        <f>IF(AM159&gt;0,2,0)</f>
        <v>0</v>
      </c>
      <c r="AP159" s="78"/>
    </row>
    <row r="160" spans="34:42">
      <c r="AH160" s="78"/>
      <c r="AJ160" s="1" t="s">
        <v>250</v>
      </c>
      <c r="AK160" s="68">
        <f>IF(AK151&lt;2,AK151,0)</f>
        <v>0</v>
      </c>
      <c r="AL160" s="1" t="s">
        <v>210</v>
      </c>
      <c r="AM160" s="1">
        <f t="shared" si="7"/>
        <v>0</v>
      </c>
      <c r="AN160" s="1" t="s">
        <v>251</v>
      </c>
      <c r="AO160" s="85">
        <f>IF(AM160&gt;0,1,0)</f>
        <v>0</v>
      </c>
      <c r="AP160" s="78"/>
    </row>
    <row r="161" spans="34:42">
      <c r="AH161" s="78"/>
      <c r="AJ161" s="1" t="s">
        <v>252</v>
      </c>
      <c r="AK161" s="68">
        <f>IF(AK151&lt;1,AK151,0)</f>
        <v>0</v>
      </c>
      <c r="AL161" s="1" t="s">
        <v>253</v>
      </c>
      <c r="AM161" s="71">
        <f>AK151-AO161</f>
        <v>0.94413978286432609</v>
      </c>
      <c r="AN161" s="1" t="s">
        <v>254</v>
      </c>
      <c r="AO161" s="71">
        <f>AO152+AO153+AO154+AO155+AO156+AO157+AO158+AO159+AO160</f>
        <v>5</v>
      </c>
      <c r="AP161" s="78"/>
    </row>
    <row r="162" spans="34:42">
      <c r="AH162" s="78"/>
      <c r="AI162" s="80"/>
      <c r="AJ162" s="80"/>
      <c r="AK162" s="80"/>
      <c r="AL162" s="2" t="s">
        <v>256</v>
      </c>
      <c r="AM162" s="80"/>
      <c r="AN162" s="80"/>
      <c r="AO162" s="80"/>
      <c r="AP162" s="78"/>
    </row>
    <row r="163" spans="34:42">
      <c r="AH163" s="78"/>
      <c r="AI163" s="91" t="s">
        <v>282</v>
      </c>
      <c r="AL163" s="1" t="s">
        <v>283</v>
      </c>
      <c r="AM163" s="1">
        <f>IF(AM161&lt;0.000000001,0,AM161)</f>
        <v>0.94413978286432609</v>
      </c>
      <c r="AP163" s="78"/>
    </row>
    <row r="164" spans="34:42">
      <c r="AH164" s="78"/>
      <c r="AI164" s="4">
        <f>AC92</f>
        <v>12.765735663047739</v>
      </c>
      <c r="AJ164" s="86" t="s">
        <v>255</v>
      </c>
      <c r="AK164" s="87"/>
      <c r="AL164" s="1" t="s">
        <v>284</v>
      </c>
      <c r="AM164" s="71">
        <f>IF(AM163&gt;0.999999999,0,AM163)</f>
        <v>0.94413978286432609</v>
      </c>
      <c r="AN164" s="2" t="s">
        <v>257</v>
      </c>
      <c r="AP164" s="78"/>
    </row>
    <row r="165" spans="34:42">
      <c r="AH165" s="78"/>
      <c r="AJ165" s="10" t="s">
        <v>258</v>
      </c>
      <c r="AK165" s="10"/>
      <c r="AL165" s="2" t="s">
        <v>259</v>
      </c>
      <c r="AN165" s="1" t="s">
        <v>285</v>
      </c>
      <c r="AP165" s="78"/>
    </row>
    <row r="166" spans="34:42">
      <c r="AH166" s="78"/>
      <c r="AI166" s="92" t="s">
        <v>286</v>
      </c>
      <c r="AJ166" s="10" t="s">
        <v>261</v>
      </c>
      <c r="AK166" s="7"/>
      <c r="AL166" s="1" t="s">
        <v>262</v>
      </c>
      <c r="AM166" s="1">
        <f>AK176-AM164</f>
        <v>45</v>
      </c>
      <c r="AN166" s="1" t="s">
        <v>287</v>
      </c>
      <c r="AO166" s="71">
        <f>AM127</f>
        <v>12</v>
      </c>
      <c r="AP166" s="78"/>
    </row>
    <row r="167" spans="34:42">
      <c r="AH167" s="78"/>
      <c r="AI167" s="1" t="s">
        <v>259</v>
      </c>
      <c r="AJ167" s="88" t="s">
        <v>264</v>
      </c>
      <c r="AK167" s="4">
        <f>AO123</f>
        <v>45.944139782864326</v>
      </c>
      <c r="AL167" s="1" t="s">
        <v>265</v>
      </c>
      <c r="AM167" s="1">
        <f>IF(AK171=1,AM166,0)</f>
        <v>0</v>
      </c>
      <c r="AP167" s="78"/>
    </row>
    <row r="168" spans="34:42">
      <c r="AH168" s="78"/>
      <c r="AI168" s="12">
        <f>AM127</f>
        <v>12</v>
      </c>
      <c r="AJ168" s="7" t="s">
        <v>267</v>
      </c>
      <c r="AK168" s="7" t="b">
        <f>ISNUMBER(AK167)</f>
        <v>1</v>
      </c>
      <c r="AL168" s="1" t="s">
        <v>268</v>
      </c>
      <c r="AM168" s="1">
        <f>-1*AM167</f>
        <v>0</v>
      </c>
      <c r="AN168" s="1" t="s">
        <v>288</v>
      </c>
      <c r="AP168" s="78"/>
    </row>
    <row r="169" spans="34:42">
      <c r="AH169" s="78"/>
      <c r="AI169" s="1" t="s">
        <v>273</v>
      </c>
      <c r="AJ169" s="7" t="s">
        <v>269</v>
      </c>
      <c r="AK169" s="7">
        <f>AK168*1</f>
        <v>1</v>
      </c>
      <c r="AL169" s="1" t="s">
        <v>270</v>
      </c>
      <c r="AM169" s="71">
        <f>IF(AK171=1,AM168,AM166)</f>
        <v>45</v>
      </c>
      <c r="AN169" s="1" t="s">
        <v>289</v>
      </c>
      <c r="AO169" s="71">
        <f>AM169</f>
        <v>45</v>
      </c>
      <c r="AP169" s="78"/>
    </row>
    <row r="170" spans="34:42">
      <c r="AH170" s="78"/>
      <c r="AI170" s="12">
        <f>AM132</f>
        <v>0.76573566304773877</v>
      </c>
      <c r="AJ170" s="7" t="s">
        <v>271</v>
      </c>
      <c r="AK170" s="10">
        <f>IF(AK169=1,AK167,0)</f>
        <v>45.944139782864326</v>
      </c>
      <c r="AM170" s="80"/>
      <c r="AP170" s="78"/>
    </row>
    <row r="171" spans="34:42">
      <c r="AH171" s="78"/>
      <c r="AI171" s="93" t="s">
        <v>290</v>
      </c>
      <c r="AJ171" s="89" t="s">
        <v>272</v>
      </c>
      <c r="AK171" s="89">
        <f>IF(AK170&lt;0,1,0)</f>
        <v>0</v>
      </c>
      <c r="AL171" s="2" t="s">
        <v>273</v>
      </c>
      <c r="AN171" s="1" t="s">
        <v>291</v>
      </c>
      <c r="AP171" s="78"/>
    </row>
    <row r="172" spans="34:42">
      <c r="AH172" s="78"/>
      <c r="AI172" s="94">
        <f>AO166</f>
        <v>12</v>
      </c>
      <c r="AJ172" s="7" t="s">
        <v>274</v>
      </c>
      <c r="AK172" s="7">
        <f>IF(AK171=1,AK170,0)</f>
        <v>0</v>
      </c>
      <c r="AL172" s="1" t="s">
        <v>275</v>
      </c>
      <c r="AM172" s="1">
        <f>IF(AK171=1,AM164,0)</f>
        <v>0</v>
      </c>
      <c r="AN172" s="1" t="s">
        <v>292</v>
      </c>
      <c r="AO172" s="71">
        <f>60*AM174</f>
        <v>56.648386971859566</v>
      </c>
      <c r="AP172" s="78"/>
    </row>
    <row r="173" spans="34:42">
      <c r="AH173" s="78"/>
      <c r="AI173" s="95" t="s">
        <v>163</v>
      </c>
      <c r="AJ173" s="7" t="s">
        <v>276</v>
      </c>
      <c r="AK173" s="7">
        <f>AK172*-1</f>
        <v>0</v>
      </c>
      <c r="AL173" s="1" t="s">
        <v>268</v>
      </c>
      <c r="AM173" s="1">
        <f>-1*AM172</f>
        <v>0</v>
      </c>
      <c r="AP173" s="78"/>
    </row>
    <row r="174" spans="34:42">
      <c r="AH174" s="78"/>
      <c r="AI174" s="96">
        <f>AO169</f>
        <v>45</v>
      </c>
      <c r="AJ174" s="7" t="s">
        <v>277</v>
      </c>
      <c r="AK174" s="10">
        <f>IF(AK173=0,AK170,AK173)</f>
        <v>45.944139782864326</v>
      </c>
      <c r="AL174" s="1" t="s">
        <v>278</v>
      </c>
      <c r="AM174" s="71">
        <f>IF(AK171=1,AM173,AM164)</f>
        <v>0.94413978286432609</v>
      </c>
      <c r="AP174" s="78"/>
    </row>
    <row r="175" spans="34:42">
      <c r="AH175" s="78"/>
      <c r="AI175" s="95" t="s">
        <v>120</v>
      </c>
      <c r="AJ175" s="90" t="s">
        <v>279</v>
      </c>
      <c r="AK175" s="10">
        <f>AK174</f>
        <v>45.944139782864326</v>
      </c>
      <c r="AM175" s="80"/>
      <c r="AP175" s="78"/>
    </row>
    <row r="176" spans="34:42">
      <c r="AH176" s="78"/>
      <c r="AI176" s="96">
        <f>AO172</f>
        <v>56.648386971859566</v>
      </c>
      <c r="AJ176" s="1" t="s">
        <v>281</v>
      </c>
      <c r="AK176" s="14">
        <f>IF(AK175&gt;100,0,AK175)</f>
        <v>45.944139782864326</v>
      </c>
      <c r="AP176" s="78"/>
    </row>
    <row r="177" spans="34:42">
      <c r="AH177" s="78"/>
      <c r="AI177" s="78"/>
      <c r="AJ177" s="78"/>
      <c r="AK177" s="78"/>
      <c r="AL177" s="78"/>
      <c r="AM177" s="78"/>
      <c r="AN177" s="78"/>
      <c r="AO177" s="78"/>
      <c r="AP177" s="78"/>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Giannis</dc:creator>
  <cp:lastModifiedBy>Giannis</cp:lastModifiedBy>
  <dcterms:created xsi:type="dcterms:W3CDTF">2016-03-25T04:53:34Z</dcterms:created>
  <dcterms:modified xsi:type="dcterms:W3CDTF">2017-09-04T04:37:21Z</dcterms:modified>
</cp:coreProperties>
</file>