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65" windowWidth="14850" windowHeight="9045"/>
  </bookViews>
  <sheets>
    <sheet name="Φύλλο1" sheetId="1" r:id="rId1"/>
    <sheet name="Φύλλο2" sheetId="2" r:id="rId2"/>
    <sheet name="Φύλλο3" sheetId="3" r:id="rId3"/>
  </sheets>
  <calcPr calcId="125725"/>
</workbook>
</file>

<file path=xl/calcChain.xml><?xml version="1.0" encoding="utf-8"?>
<calcChain xmlns="http://schemas.openxmlformats.org/spreadsheetml/2006/main">
  <c r="IZ346" i="1"/>
  <c r="IY346"/>
  <c r="IX346"/>
  <c r="IW346"/>
  <c r="IV346"/>
  <c r="IY345"/>
  <c r="IX345"/>
  <c r="IW345"/>
  <c r="IV345"/>
  <c r="IX344"/>
  <c r="IW344"/>
  <c r="IV344"/>
  <c r="IW343"/>
  <c r="IV343"/>
  <c r="IV342"/>
  <c r="IX322"/>
  <c r="IW322"/>
  <c r="IV322"/>
  <c r="IW321"/>
  <c r="IV321"/>
  <c r="IV320"/>
  <c r="IW307"/>
  <c r="IV307"/>
  <c r="IV306"/>
  <c r="O911"/>
  <c r="EN65" l="1"/>
  <c r="EN64"/>
  <c r="GD261"/>
  <c r="IZ91"/>
  <c r="IY91"/>
  <c r="IX91"/>
  <c r="IW91"/>
  <c r="IV91"/>
  <c r="IY90"/>
  <c r="IX90"/>
  <c r="IW90"/>
  <c r="IV90"/>
  <c r="IX89"/>
  <c r="IW89"/>
  <c r="IV89"/>
  <c r="IW88"/>
  <c r="IV88"/>
  <c r="IV87"/>
  <c r="IX67"/>
  <c r="IW67"/>
  <c r="IV67"/>
  <c r="IW66"/>
  <c r="IV66"/>
  <c r="IV65"/>
  <c r="IW52"/>
  <c r="IV52"/>
  <c r="IV51"/>
  <c r="EN66" l="1"/>
  <c r="EJ68" s="1"/>
  <c r="BF83" s="1"/>
  <c r="BF84" s="1"/>
  <c r="BF85" s="1"/>
  <c r="BF68" l="1"/>
  <c r="BF70" s="1"/>
  <c r="EK66"/>
  <c r="BF69" l="1"/>
  <c r="EW40"/>
  <c r="EZ54" s="1"/>
  <c r="EV40"/>
  <c r="EY54" s="1"/>
  <c r="EV41"/>
  <c r="FA54" s="1"/>
  <c r="EV42"/>
  <c r="EV36"/>
  <c r="EV35"/>
  <c r="FA53" s="1"/>
  <c r="EV30"/>
  <c r="EV29"/>
  <c r="EW39"/>
  <c r="EX54" s="1"/>
  <c r="EV39"/>
  <c r="EW54" s="1"/>
  <c r="EW34"/>
  <c r="EZ53" s="1"/>
  <c r="EV34"/>
  <c r="EY53" s="1"/>
  <c r="EV33"/>
  <c r="EW53" s="1"/>
  <c r="EW33"/>
  <c r="EW28"/>
  <c r="EZ52" s="1"/>
  <c r="EV28"/>
  <c r="EY52" s="1"/>
  <c r="EV27"/>
  <c r="EW52" s="1"/>
  <c r="EW27"/>
  <c r="EX52" s="1"/>
  <c r="EW46"/>
  <c r="EZ55" s="1"/>
  <c r="EW45"/>
  <c r="EX55" s="1"/>
  <c r="EV15"/>
  <c r="EX53" l="1"/>
  <c r="FB54" l="1"/>
  <c r="FB53"/>
  <c r="FB52"/>
  <c r="FA52"/>
  <c r="EV48"/>
  <c r="FB55" s="1"/>
  <c r="EV47"/>
  <c r="FA55" s="1"/>
  <c r="EV46"/>
  <c r="EY55" s="1"/>
  <c r="EV45"/>
  <c r="EW55" s="1"/>
  <c r="EV20"/>
  <c r="EV21" s="1"/>
  <c r="EV22" s="1"/>
  <c r="EV23" s="1"/>
  <c r="EV24" s="1"/>
  <c r="EH17" l="1"/>
  <c r="EV66"/>
  <c r="EH85" s="1"/>
  <c r="EV63"/>
  <c r="FQ307" s="1"/>
  <c r="HL448" s="1"/>
  <c r="EV62"/>
  <c r="FR52" s="1"/>
  <c r="IK39" s="1"/>
  <c r="IK17" s="1"/>
  <c r="EV64"/>
  <c r="FR307" s="1"/>
  <c r="IK294" s="1"/>
  <c r="IK272" s="1"/>
  <c r="EV61"/>
  <c r="FQ52" s="1"/>
  <c r="HL193" s="1"/>
  <c r="EV67"/>
  <c r="FO58" s="1"/>
  <c r="EV65"/>
  <c r="BF89" s="1"/>
  <c r="BF90" s="1"/>
  <c r="CT22" s="1"/>
  <c r="HN274" l="1"/>
  <c r="HN270"/>
  <c r="IK273"/>
  <c r="IK287"/>
  <c r="EK73"/>
  <c r="HG31"/>
  <c r="HH15" s="1"/>
  <c r="HH16" s="1"/>
  <c r="HH17" s="1"/>
  <c r="HH18" s="1"/>
  <c r="HH19" s="1"/>
  <c r="HH20" s="1"/>
  <c r="GJ15"/>
  <c r="GJ16" s="1"/>
  <c r="GJ17" s="1"/>
  <c r="GJ18" s="1"/>
  <c r="GJ19" s="1"/>
  <c r="GJ20" s="1"/>
  <c r="GJ21" s="1"/>
  <c r="GJ22" s="1"/>
  <c r="IK32"/>
  <c r="IK18"/>
  <c r="HN19"/>
  <c r="HN15"/>
  <c r="EV18"/>
  <c r="EU109" s="1"/>
  <c r="DR257"/>
  <c r="HN443" l="1"/>
  <c r="HN278"/>
  <c r="HN284"/>
  <c r="HN296"/>
  <c r="HN308"/>
  <c r="HN320"/>
  <c r="HN277"/>
  <c r="HN285"/>
  <c r="HN291"/>
  <c r="HN297"/>
  <c r="HN303"/>
  <c r="HN313"/>
  <c r="HN315"/>
  <c r="HN322"/>
  <c r="HN328"/>
  <c r="HN336"/>
  <c r="HN341"/>
  <c r="HN346"/>
  <c r="HN353"/>
  <c r="HN367"/>
  <c r="HN372"/>
  <c r="HN389"/>
  <c r="HN395"/>
  <c r="HN401"/>
  <c r="HN407"/>
  <c r="HN415"/>
  <c r="HN421"/>
  <c r="HN327"/>
  <c r="HN333"/>
  <c r="HN348"/>
  <c r="HN354"/>
  <c r="HN360"/>
  <c r="HN365"/>
  <c r="HN373"/>
  <c r="HN378"/>
  <c r="HN384"/>
  <c r="HN394"/>
  <c r="HN402"/>
  <c r="HN410"/>
  <c r="HN420"/>
  <c r="HN276"/>
  <c r="HN279"/>
  <c r="HN289"/>
  <c r="HN302"/>
  <c r="HN309"/>
  <c r="HN275"/>
  <c r="HN283"/>
  <c r="HN290"/>
  <c r="HN295"/>
  <c r="HN301"/>
  <c r="HN307"/>
  <c r="HN314"/>
  <c r="HN321"/>
  <c r="HN323"/>
  <c r="HN334"/>
  <c r="HN340"/>
  <c r="HN342"/>
  <c r="HN347"/>
  <c r="HN356"/>
  <c r="HN368"/>
  <c r="HN383"/>
  <c r="HN393"/>
  <c r="HN397"/>
  <c r="HN403"/>
  <c r="HN409"/>
  <c r="HN419"/>
  <c r="HN319"/>
  <c r="HN329"/>
  <c r="HN335"/>
  <c r="HN349"/>
  <c r="HN355"/>
  <c r="HN361"/>
  <c r="HN366"/>
  <c r="HN377"/>
  <c r="HN382"/>
  <c r="HN388"/>
  <c r="HN396"/>
  <c r="HN408"/>
  <c r="HN414"/>
  <c r="HN436"/>
  <c r="HN437"/>
  <c r="HN271"/>
  <c r="HN431"/>
  <c r="HN441"/>
  <c r="HN428"/>
  <c r="HN432"/>
  <c r="IK274"/>
  <c r="IK275" s="1"/>
  <c r="IK276" s="1"/>
  <c r="HN139"/>
  <c r="HN140"/>
  <c r="HN80"/>
  <c r="HN111"/>
  <c r="HN188"/>
  <c r="HN20"/>
  <c r="IK19"/>
  <c r="IK20" s="1"/>
  <c r="IK21" s="1"/>
  <c r="IK22" s="1"/>
  <c r="IK23" s="1"/>
  <c r="IK29" s="1"/>
  <c r="HH21"/>
  <c r="HH22" s="1"/>
  <c r="GP19" s="1"/>
  <c r="HH23"/>
  <c r="HH24" s="1"/>
  <c r="GQ19" s="1"/>
  <c r="HH27"/>
  <c r="HH28" s="1"/>
  <c r="GS19" s="1"/>
  <c r="HH25"/>
  <c r="HH26" s="1"/>
  <c r="GR19" s="1"/>
  <c r="GJ23"/>
  <c r="GJ24" s="1"/>
  <c r="GO15"/>
  <c r="GO16" s="1"/>
  <c r="HN186"/>
  <c r="HN16"/>
  <c r="HN177"/>
  <c r="HN182"/>
  <c r="HN173"/>
  <c r="HN181"/>
  <c r="HN176"/>
  <c r="HN178" s="1"/>
  <c r="HN166"/>
  <c r="HN21"/>
  <c r="HN22"/>
  <c r="HN28"/>
  <c r="HN34"/>
  <c r="HN42"/>
  <c r="HN52"/>
  <c r="HN59"/>
  <c r="HN64"/>
  <c r="HN68"/>
  <c r="HN74"/>
  <c r="HN79"/>
  <c r="HN85"/>
  <c r="HN92"/>
  <c r="HN98"/>
  <c r="HN100"/>
  <c r="HN105"/>
  <c r="HN110"/>
  <c r="HN117"/>
  <c r="HN127"/>
  <c r="HN133"/>
  <c r="HN147"/>
  <c r="HN155"/>
  <c r="HN165"/>
  <c r="HN36"/>
  <c r="HN46"/>
  <c r="HN54"/>
  <c r="HN65"/>
  <c r="HN73"/>
  <c r="HN91"/>
  <c r="HN112"/>
  <c r="HN122"/>
  <c r="HN134"/>
  <c r="HN135" s="1"/>
  <c r="HN142"/>
  <c r="HN148"/>
  <c r="HN154"/>
  <c r="HN164"/>
  <c r="HN35"/>
  <c r="HN48"/>
  <c r="HN58"/>
  <c r="HN87"/>
  <c r="HN93"/>
  <c r="HN128"/>
  <c r="HN138"/>
  <c r="HN152"/>
  <c r="HN160"/>
  <c r="HN23"/>
  <c r="HN29"/>
  <c r="HN24"/>
  <c r="HN30"/>
  <c r="HN40"/>
  <c r="HN47"/>
  <c r="HN53"/>
  <c r="HN60"/>
  <c r="HN66"/>
  <c r="HN72"/>
  <c r="HN78"/>
  <c r="HN81"/>
  <c r="HN86"/>
  <c r="HN94"/>
  <c r="HN99"/>
  <c r="HN101"/>
  <c r="HN106"/>
  <c r="HN113"/>
  <c r="HN123"/>
  <c r="HN129"/>
  <c r="HN141"/>
  <c r="HN153"/>
  <c r="HN159"/>
  <c r="HN41"/>
  <c r="HN67"/>
  <c r="HN118"/>
  <c r="HN146"/>
  <c r="BF41"/>
  <c r="BI54" s="1"/>
  <c r="BF35"/>
  <c r="BI53" s="1"/>
  <c r="BF29"/>
  <c r="BI52" s="1"/>
  <c r="Q914"/>
  <c r="BF47"/>
  <c r="BI55" s="1"/>
  <c r="HN286" l="1"/>
  <c r="HN298"/>
  <c r="HN385"/>
  <c r="HN310"/>
  <c r="HN422"/>
  <c r="HN304"/>
  <c r="HN280"/>
  <c r="HN369"/>
  <c r="HN343"/>
  <c r="HN433"/>
  <c r="HN438"/>
  <c r="HN324"/>
  <c r="HN398"/>
  <c r="HN292"/>
  <c r="HN379"/>
  <c r="HN337"/>
  <c r="HN411"/>
  <c r="HN374"/>
  <c r="HN357"/>
  <c r="HN362"/>
  <c r="HN330"/>
  <c r="HN416"/>
  <c r="HN404"/>
  <c r="HN390"/>
  <c r="HN350"/>
  <c r="HN316"/>
  <c r="IK277"/>
  <c r="IK278" s="1"/>
  <c r="HN114"/>
  <c r="HN143"/>
  <c r="HN82"/>
  <c r="HN149"/>
  <c r="IK27"/>
  <c r="IK28" s="1"/>
  <c r="IL31" s="1"/>
  <c r="IK54" s="1"/>
  <c r="IK25"/>
  <c r="IK26" s="1"/>
  <c r="IK31" s="1"/>
  <c r="IK34" s="1"/>
  <c r="IK35" s="1"/>
  <c r="IK37" s="1"/>
  <c r="IO14" s="1"/>
  <c r="IO19" s="1"/>
  <c r="HN124"/>
  <c r="HN183"/>
  <c r="GJ29"/>
  <c r="GJ38" s="1"/>
  <c r="GS18" s="1"/>
  <c r="GS20" s="1"/>
  <c r="FP56" s="1"/>
  <c r="EJ58" s="1"/>
  <c r="GJ27"/>
  <c r="GJ34" s="1"/>
  <c r="GQ18" s="1"/>
  <c r="GQ20" s="1"/>
  <c r="FQ58" s="1"/>
  <c r="EK59" s="1"/>
  <c r="GJ28"/>
  <c r="GJ36" s="1"/>
  <c r="GP18" s="1"/>
  <c r="GP20" s="1"/>
  <c r="FP58" s="1"/>
  <c r="EJ59" s="1"/>
  <c r="GJ26"/>
  <c r="GJ32" s="1"/>
  <c r="GR18" s="1"/>
  <c r="GR20" s="1"/>
  <c r="FS58" s="1"/>
  <c r="EN59" s="1"/>
  <c r="HN43"/>
  <c r="HN156"/>
  <c r="HN167"/>
  <c r="HN119"/>
  <c r="HN102"/>
  <c r="HN75"/>
  <c r="HN161"/>
  <c r="HN61"/>
  <c r="HN95"/>
  <c r="HN49"/>
  <c r="HN130"/>
  <c r="HN31"/>
  <c r="HN107"/>
  <c r="HN88"/>
  <c r="HN69"/>
  <c r="HN55"/>
  <c r="HN37"/>
  <c r="HN25"/>
  <c r="Q915"/>
  <c r="P915"/>
  <c r="O915"/>
  <c r="N915"/>
  <c r="M915"/>
  <c r="L915"/>
  <c r="S915"/>
  <c r="R915"/>
  <c r="BT92"/>
  <c r="BS92"/>
  <c r="BT73"/>
  <c r="BS73"/>
  <c r="HN424" l="1"/>
  <c r="HN446" s="1"/>
  <c r="HV269" s="1"/>
  <c r="HY271" s="1"/>
  <c r="HY272" s="1"/>
  <c r="HL450" s="1"/>
  <c r="IO268" s="1"/>
  <c r="IK282"/>
  <c r="IK283" s="1"/>
  <c r="IL286" s="1"/>
  <c r="IK309" s="1"/>
  <c r="IK284"/>
  <c r="IK280"/>
  <c r="IK281" s="1"/>
  <c r="IK286" s="1"/>
  <c r="IQ27"/>
  <c r="IS98" s="1"/>
  <c r="EJ32"/>
  <c r="EJ100"/>
  <c r="EN33"/>
  <c r="EN101"/>
  <c r="EK33"/>
  <c r="EK101"/>
  <c r="EJ33"/>
  <c r="EJ101"/>
  <c r="HN169"/>
  <c r="CT104"/>
  <c r="IQ281" l="1"/>
  <c r="IO273"/>
  <c r="IK289"/>
  <c r="IK290" s="1"/>
  <c r="IK292" s="1"/>
  <c r="IO269" s="1"/>
  <c r="HN191"/>
  <c r="HV14" s="1"/>
  <c r="HY16" s="1"/>
  <c r="HY17" s="1"/>
  <c r="HL195" s="1"/>
  <c r="IO13" s="1"/>
  <c r="IQ43"/>
  <c r="IQ44" s="1"/>
  <c r="IR47" s="1"/>
  <c r="IQ58"/>
  <c r="IQ59" s="1"/>
  <c r="IR61" s="1"/>
  <c r="IQ28"/>
  <c r="IQ75"/>
  <c r="IQ76" s="1"/>
  <c r="IR83" s="1"/>
  <c r="CT52"/>
  <c r="BF42"/>
  <c r="BJ54" s="1"/>
  <c r="BF36"/>
  <c r="BJ53" s="1"/>
  <c r="BF30"/>
  <c r="BJ52" s="1"/>
  <c r="BF48"/>
  <c r="BJ55" s="1"/>
  <c r="IQ282" l="1"/>
  <c r="IO274"/>
  <c r="IO275" s="1"/>
  <c r="IQ338"/>
  <c r="IT347" s="1"/>
  <c r="IQ302"/>
  <c r="IT308" s="1"/>
  <c r="IQ316"/>
  <c r="IT323" s="1"/>
  <c r="IQ353"/>
  <c r="IQ26"/>
  <c r="IQ98" s="1"/>
  <c r="IQ99" s="1"/>
  <c r="IU115" s="1"/>
  <c r="IO18"/>
  <c r="IO20" s="1"/>
  <c r="JA91"/>
  <c r="IQ88"/>
  <c r="IQ89" s="1"/>
  <c r="IQ84"/>
  <c r="IQ85" s="1"/>
  <c r="IQ92"/>
  <c r="IQ93" s="1"/>
  <c r="IQ90"/>
  <c r="IQ91" s="1"/>
  <c r="IQ86"/>
  <c r="IQ87" s="1"/>
  <c r="IQ94"/>
  <c r="IQ95" s="1"/>
  <c r="IY67"/>
  <c r="IQ62"/>
  <c r="IQ63" s="1"/>
  <c r="IQ66"/>
  <c r="IQ67" s="1"/>
  <c r="IQ68"/>
  <c r="IQ64"/>
  <c r="IQ65" s="1"/>
  <c r="IQ29"/>
  <c r="IQ108"/>
  <c r="IQ52"/>
  <c r="IX52"/>
  <c r="IQ48"/>
  <c r="IQ49" s="1"/>
  <c r="IQ50"/>
  <c r="IQ51" s="1"/>
  <c r="BF15"/>
  <c r="BF40"/>
  <c r="BH54" s="1"/>
  <c r="BF39"/>
  <c r="BG54" s="1"/>
  <c r="BF34"/>
  <c r="BH53" s="1"/>
  <c r="BF33"/>
  <c r="BG53" s="1"/>
  <c r="BF28"/>
  <c r="BH52" s="1"/>
  <c r="BF27"/>
  <c r="BG52" s="1"/>
  <c r="BF46"/>
  <c r="BH55" s="1"/>
  <c r="BF45"/>
  <c r="BG55" s="1"/>
  <c r="IQ313" l="1"/>
  <c r="IQ314" s="1"/>
  <c r="IR316" s="1"/>
  <c r="IQ330"/>
  <c r="IQ331" s="1"/>
  <c r="IR338" s="1"/>
  <c r="IQ283"/>
  <c r="IQ298"/>
  <c r="IQ299" s="1"/>
  <c r="IR302" s="1"/>
  <c r="IS353"/>
  <c r="IQ354" s="1"/>
  <c r="IU370" s="1"/>
  <c r="IQ61"/>
  <c r="IT68" s="1"/>
  <c r="IQ83"/>
  <c r="IT92" s="1"/>
  <c r="IQ47"/>
  <c r="IT53" s="1"/>
  <c r="IQ53"/>
  <c r="IT48" s="1"/>
  <c r="IQ102"/>
  <c r="IQ109" s="1"/>
  <c r="IQ30"/>
  <c r="IQ33" s="1"/>
  <c r="IQ31"/>
  <c r="IS33" s="1"/>
  <c r="IQ69"/>
  <c r="IT62" s="1"/>
  <c r="IQ96"/>
  <c r="IT84" s="1"/>
  <c r="BF20"/>
  <c r="BF21" s="1"/>
  <c r="BF22" s="1"/>
  <c r="BF23" s="1"/>
  <c r="BF24" s="1"/>
  <c r="BF65" s="1"/>
  <c r="DX11" s="1"/>
  <c r="DX12" s="1"/>
  <c r="DX13" s="1"/>
  <c r="DX14" s="1"/>
  <c r="DX15" s="1"/>
  <c r="DX16" s="1"/>
  <c r="DX17" s="1"/>
  <c r="DX18" s="1"/>
  <c r="DX19" s="1"/>
  <c r="DX20" s="1"/>
  <c r="DX24" s="1"/>
  <c r="DX32" s="1"/>
  <c r="BS146" s="1"/>
  <c r="IQ284" l="1"/>
  <c r="IQ363"/>
  <c r="IY322"/>
  <c r="IQ323"/>
  <c r="IQ317"/>
  <c r="IQ318" s="1"/>
  <c r="IQ319"/>
  <c r="IQ320" s="1"/>
  <c r="IQ321"/>
  <c r="IQ322" s="1"/>
  <c r="IQ305"/>
  <c r="IQ306" s="1"/>
  <c r="IQ303"/>
  <c r="IQ304" s="1"/>
  <c r="IX307"/>
  <c r="IQ307"/>
  <c r="IQ345"/>
  <c r="IQ346" s="1"/>
  <c r="IQ339"/>
  <c r="IQ340" s="1"/>
  <c r="IQ341"/>
  <c r="IQ342" s="1"/>
  <c r="IQ347"/>
  <c r="IQ348" s="1"/>
  <c r="IQ349"/>
  <c r="IQ350" s="1"/>
  <c r="JA346"/>
  <c r="IQ343"/>
  <c r="IQ344" s="1"/>
  <c r="IW53"/>
  <c r="IV53"/>
  <c r="IW92"/>
  <c r="IV92"/>
  <c r="IZ92"/>
  <c r="IY92"/>
  <c r="IX92"/>
  <c r="IQ106"/>
  <c r="IQ103"/>
  <c r="IQ105"/>
  <c r="IQ104"/>
  <c r="IQ107"/>
  <c r="IX68"/>
  <c r="IW68"/>
  <c r="IV68"/>
  <c r="IQ34"/>
  <c r="IU120" s="1"/>
  <c r="BF62"/>
  <c r="DX23"/>
  <c r="DX30" s="1"/>
  <c r="BS145" s="1"/>
  <c r="AT116" s="1"/>
  <c r="BF64"/>
  <c r="BF18" s="1"/>
  <c r="AQ87" s="1"/>
  <c r="DX22"/>
  <c r="DX28" s="1"/>
  <c r="BS144" s="1"/>
  <c r="BF63"/>
  <c r="DX25"/>
  <c r="DX34" s="1"/>
  <c r="BS147" s="1"/>
  <c r="BF61"/>
  <c r="BE106"/>
  <c r="IQ285" l="1"/>
  <c r="IQ288" s="1"/>
  <c r="IQ357"/>
  <c r="IQ286"/>
  <c r="IS288" s="1"/>
  <c r="IQ351"/>
  <c r="IT339" s="1"/>
  <c r="IQ308"/>
  <c r="IT303" s="1"/>
  <c r="IQ324"/>
  <c r="IT317" s="1"/>
  <c r="IQ111"/>
  <c r="IX53"/>
  <c r="IU111" s="1"/>
  <c r="IY68"/>
  <c r="IU112" s="1"/>
  <c r="JA92"/>
  <c r="IU114" s="1"/>
  <c r="CH119"/>
  <c r="BF87"/>
  <c r="BF72"/>
  <c r="BF73"/>
  <c r="CT74"/>
  <c r="CT76" s="1"/>
  <c r="CT77" s="1"/>
  <c r="CT85" s="1"/>
  <c r="CT90" s="1"/>
  <c r="CT91" s="1"/>
  <c r="AR86"/>
  <c r="AP19"/>
  <c r="AR76"/>
  <c r="AQ76"/>
  <c r="AQ75"/>
  <c r="AS76"/>
  <c r="AR35"/>
  <c r="AP100"/>
  <c r="AP60"/>
  <c r="AR85"/>
  <c r="AR83"/>
  <c r="AR84"/>
  <c r="IW308" l="1"/>
  <c r="IV308"/>
  <c r="IQ289"/>
  <c r="IU375" s="1"/>
  <c r="IV323"/>
  <c r="IW323"/>
  <c r="IX323"/>
  <c r="IZ347"/>
  <c r="IW347"/>
  <c r="IY347"/>
  <c r="IV347"/>
  <c r="IX347"/>
  <c r="IQ358"/>
  <c r="IQ360"/>
  <c r="IQ361"/>
  <c r="IQ362"/>
  <c r="IQ364"/>
  <c r="IQ359"/>
  <c r="IS110"/>
  <c r="IU121" s="1"/>
  <c r="IU122" s="1"/>
  <c r="CT24"/>
  <c r="CT25" s="1"/>
  <c r="CT33" s="1"/>
  <c r="CT38" s="1"/>
  <c r="CT39" s="1"/>
  <c r="AQ115"/>
  <c r="AQ34"/>
  <c r="AR116"/>
  <c r="AS35"/>
  <c r="AQ35"/>
  <c r="AQ116"/>
  <c r="JA347" l="1"/>
  <c r="IU369" s="1"/>
  <c r="IX308"/>
  <c r="IU366" s="1"/>
  <c r="IQ366"/>
  <c r="IY323"/>
  <c r="IU367" s="1"/>
  <c r="IO15"/>
  <c r="IO16"/>
  <c r="IO17" s="1"/>
  <c r="IO21" s="1"/>
  <c r="IO22" s="1"/>
  <c r="IS365" l="1"/>
  <c r="IU376" s="1"/>
  <c r="IU377" s="1"/>
  <c r="FO47"/>
  <c r="BF75" s="1"/>
  <c r="BF78" s="1"/>
  <c r="AD20" s="1"/>
  <c r="Y20" s="1"/>
  <c r="Y25" s="1"/>
  <c r="Y26" s="1"/>
  <c r="Y27" s="1"/>
  <c r="Y28" s="1"/>
  <c r="Y30" s="1"/>
  <c r="IO271" l="1"/>
  <c r="IO272" s="1"/>
  <c r="IO276" s="1"/>
  <c r="IO277" s="1"/>
  <c r="FO302" s="1"/>
  <c r="BF76" s="1"/>
  <c r="BF79" s="1"/>
  <c r="AD21" s="1"/>
  <c r="Y21" s="1"/>
  <c r="Y52" s="1"/>
  <c r="Y53" s="1"/>
  <c r="Y54" s="1"/>
  <c r="Y55" s="1"/>
  <c r="Y57" s="1"/>
  <c r="IO270"/>
  <c r="Y31"/>
  <c r="Y32" s="1"/>
  <c r="Y35" s="1"/>
  <c r="Y36" s="1"/>
  <c r="Y47" s="1"/>
  <c r="Y49" s="1"/>
  <c r="AC49" s="1"/>
  <c r="BS121" s="1"/>
  <c r="Y58" l="1"/>
  <c r="Y59" s="1"/>
  <c r="Y62" s="1"/>
  <c r="Y63" s="1"/>
  <c r="BY98" s="1"/>
  <c r="CB98" s="1"/>
  <c r="Y43"/>
  <c r="AD43" s="1"/>
  <c r="BW47" s="1"/>
  <c r="Y38"/>
  <c r="AD38" s="1"/>
  <c r="BR24" s="1"/>
  <c r="CL19" s="1"/>
  <c r="CL23" s="1"/>
  <c r="CL24" s="1"/>
  <c r="CL25" s="1"/>
  <c r="CL48" s="1"/>
  <c r="Y46"/>
  <c r="Y48" s="1"/>
  <c r="AC48" s="1"/>
  <c r="BS120" s="1"/>
  <c r="AP31" s="1"/>
  <c r="EH29" s="1"/>
  <c r="Y42"/>
  <c r="AD42" s="1"/>
  <c r="BV47" s="1"/>
  <c r="Y40"/>
  <c r="AD40" s="1"/>
  <c r="BR26" s="1"/>
  <c r="CL21" s="1"/>
  <c r="CL33" s="1"/>
  <c r="CL34" s="1"/>
  <c r="CL35" s="1"/>
  <c r="CL59" s="1"/>
  <c r="CL61" s="1"/>
  <c r="Y44"/>
  <c r="AD44" s="1"/>
  <c r="BX47" s="1"/>
  <c r="BY79"/>
  <c r="CB79" s="1"/>
  <c r="Y39"/>
  <c r="AD39" s="1"/>
  <c r="BR25" s="1"/>
  <c r="CL20" s="1"/>
  <c r="CL28" s="1"/>
  <c r="CL29" s="1"/>
  <c r="CL30" s="1"/>
  <c r="CL58" s="1"/>
  <c r="BR29"/>
  <c r="CO20" s="1"/>
  <c r="CO28" s="1"/>
  <c r="CO29" s="1"/>
  <c r="CO31" s="1"/>
  <c r="AP113"/>
  <c r="EH98" s="1"/>
  <c r="AP73"/>
  <c r="EH56" s="1"/>
  <c r="AP32"/>
  <c r="EH30" s="1"/>
  <c r="CL42" l="1"/>
  <c r="AP72"/>
  <c r="EH55" s="1"/>
  <c r="CL26"/>
  <c r="Y75"/>
  <c r="Y77" s="1"/>
  <c r="AC77" s="1"/>
  <c r="CB121" s="1"/>
  <c r="AT73" s="1"/>
  <c r="EN56" s="1"/>
  <c r="CL57"/>
  <c r="Y74"/>
  <c r="Y76" s="1"/>
  <c r="AC76" s="1"/>
  <c r="CB120" s="1"/>
  <c r="AT72" s="1"/>
  <c r="EN55" s="1"/>
  <c r="Y72"/>
  <c r="AD72" s="1"/>
  <c r="BT30" s="1"/>
  <c r="CO85" s="1"/>
  <c r="CO97" s="1"/>
  <c r="CO98" s="1"/>
  <c r="CO99" s="1"/>
  <c r="CO126" s="1"/>
  <c r="CO128" s="1"/>
  <c r="Y68"/>
  <c r="AD68" s="1"/>
  <c r="BT26" s="1"/>
  <c r="CL85" s="1"/>
  <c r="CL97" s="1"/>
  <c r="CL98" s="1"/>
  <c r="CL100" s="1"/>
  <c r="CL50"/>
  <c r="BS47"/>
  <c r="Y71"/>
  <c r="AD71" s="1"/>
  <c r="CC47" s="1"/>
  <c r="Y70"/>
  <c r="AD70" s="1"/>
  <c r="CB47" s="1"/>
  <c r="Y67"/>
  <c r="AD67" s="1"/>
  <c r="BT25" s="1"/>
  <c r="CL84" s="1"/>
  <c r="CL92" s="1"/>
  <c r="CL93" s="1"/>
  <c r="CL94" s="1"/>
  <c r="CL125" s="1"/>
  <c r="Y66"/>
  <c r="AD66" s="1"/>
  <c r="BT24" s="1"/>
  <c r="CL83" s="1"/>
  <c r="CL87" s="1"/>
  <c r="CL88" s="1"/>
  <c r="CL89" s="1"/>
  <c r="AP112"/>
  <c r="EH97" s="1"/>
  <c r="BR30"/>
  <c r="CO21" s="1"/>
  <c r="CO33" s="1"/>
  <c r="CO34" s="1"/>
  <c r="CO35" s="1"/>
  <c r="CO50" s="1"/>
  <c r="BR28"/>
  <c r="CO19" s="1"/>
  <c r="CO23" s="1"/>
  <c r="CO24" s="1"/>
  <c r="CO25" s="1"/>
  <c r="CO48" s="1"/>
  <c r="CL44"/>
  <c r="CL43"/>
  <c r="CL36"/>
  <c r="BU47"/>
  <c r="CL49"/>
  <c r="CL31"/>
  <c r="BT47"/>
  <c r="CO30"/>
  <c r="CO58" s="1"/>
  <c r="CL62"/>
  <c r="AT32" l="1"/>
  <c r="EN30" s="1"/>
  <c r="CL63"/>
  <c r="CL74" s="1"/>
  <c r="BY75" s="1"/>
  <c r="CB75" s="1"/>
  <c r="AT113"/>
  <c r="EN98" s="1"/>
  <c r="CO114"/>
  <c r="CL99"/>
  <c r="CL114" s="1"/>
  <c r="CA47"/>
  <c r="CD47"/>
  <c r="AT31"/>
  <c r="EN29" s="1"/>
  <c r="AT112"/>
  <c r="EN97" s="1"/>
  <c r="CO100"/>
  <c r="CO108"/>
  <c r="BZ47"/>
  <c r="BY47"/>
  <c r="BT28"/>
  <c r="CO83" s="1"/>
  <c r="CO87" s="1"/>
  <c r="CO88" s="1"/>
  <c r="CO89" s="1"/>
  <c r="CO112" s="1"/>
  <c r="CO59"/>
  <c r="CO61" s="1"/>
  <c r="CO62" s="1"/>
  <c r="CL90"/>
  <c r="CL107"/>
  <c r="CL113"/>
  <c r="CL124"/>
  <c r="CL106"/>
  <c r="CL112"/>
  <c r="CO36"/>
  <c r="CL51"/>
  <c r="CL52" s="1"/>
  <c r="CL95"/>
  <c r="BT29"/>
  <c r="CO84" s="1"/>
  <c r="CO92" s="1"/>
  <c r="CO93" s="1"/>
  <c r="CO95" s="1"/>
  <c r="CO44"/>
  <c r="CO26"/>
  <c r="CL37"/>
  <c r="CL65" s="1"/>
  <c r="CO57"/>
  <c r="CO42"/>
  <c r="CL45"/>
  <c r="CL77" s="1"/>
  <c r="CO43"/>
  <c r="CO49"/>
  <c r="CO51" s="1"/>
  <c r="CO52" s="1"/>
  <c r="CL73" l="1"/>
  <c r="BY76" s="1"/>
  <c r="CB76" s="1"/>
  <c r="CL126"/>
  <c r="CL128" s="1"/>
  <c r="CL129" s="1"/>
  <c r="CL130" s="1"/>
  <c r="CL142" s="1"/>
  <c r="BY95" s="1"/>
  <c r="CB95" s="1"/>
  <c r="CL108"/>
  <c r="CL109" s="1"/>
  <c r="CL145" s="1"/>
  <c r="CL101"/>
  <c r="CL102" s="1"/>
  <c r="CO94"/>
  <c r="CO113" s="1"/>
  <c r="CO115" s="1"/>
  <c r="CO116" s="1"/>
  <c r="CO106"/>
  <c r="CO90"/>
  <c r="CO101" s="1"/>
  <c r="CO145" s="1"/>
  <c r="CO124"/>
  <c r="CO78"/>
  <c r="CO37"/>
  <c r="CO65" s="1"/>
  <c r="CL115"/>
  <c r="CL116" s="1"/>
  <c r="CO45"/>
  <c r="CL78" s="1"/>
  <c r="CL79" s="1"/>
  <c r="CL46"/>
  <c r="CL53" s="1"/>
  <c r="CL72" s="1"/>
  <c r="CZ100" s="1"/>
  <c r="CL38"/>
  <c r="CO63"/>
  <c r="CO72" s="1"/>
  <c r="CO73" s="1"/>
  <c r="BY78" s="1"/>
  <c r="CO125" l="1"/>
  <c r="CO129" s="1"/>
  <c r="CO130" s="1"/>
  <c r="CO139" s="1"/>
  <c r="BY96" s="1"/>
  <c r="CB96" s="1"/>
  <c r="CO107"/>
  <c r="CO109" s="1"/>
  <c r="CL132"/>
  <c r="CO46"/>
  <c r="CO53" s="1"/>
  <c r="CO70" s="1"/>
  <c r="CZ101" s="1"/>
  <c r="CO77"/>
  <c r="CO79" s="1"/>
  <c r="BS55" s="1"/>
  <c r="BS56" s="1"/>
  <c r="BY73"/>
  <c r="CB73" s="1"/>
  <c r="CO71"/>
  <c r="BY77" s="1"/>
  <c r="CB77" s="1"/>
  <c r="CL141"/>
  <c r="BY94" s="1"/>
  <c r="CB94" s="1"/>
  <c r="CO146"/>
  <c r="CO147" s="1"/>
  <c r="CL110"/>
  <c r="CL117" s="1"/>
  <c r="CL133" s="1"/>
  <c r="CO38"/>
  <c r="CL66"/>
  <c r="CL67" s="1"/>
  <c r="CL68" s="1"/>
  <c r="BS65" s="1"/>
  <c r="CL54"/>
  <c r="CO102"/>
  <c r="CO132"/>
  <c r="CB78"/>
  <c r="CO110" l="1"/>
  <c r="CO117" s="1"/>
  <c r="CO138" s="1"/>
  <c r="CL146"/>
  <c r="CL147" s="1"/>
  <c r="CZ83"/>
  <c r="CT116"/>
  <c r="CO140"/>
  <c r="CO141" s="1"/>
  <c r="BY97" s="1"/>
  <c r="CB97" s="1"/>
  <c r="CT64"/>
  <c r="CL134"/>
  <c r="CL135" s="1"/>
  <c r="CT78" s="1"/>
  <c r="CT79" s="1"/>
  <c r="CT80" s="1"/>
  <c r="CT86" s="1"/>
  <c r="CT92" s="1"/>
  <c r="CT93" s="1"/>
  <c r="CT94" s="1"/>
  <c r="CT95" s="1"/>
  <c r="CT96" s="1"/>
  <c r="CT101" s="1"/>
  <c r="CT102" s="1"/>
  <c r="CZ82"/>
  <c r="CO54"/>
  <c r="BY74"/>
  <c r="CB74" s="1"/>
  <c r="CO66"/>
  <c r="CO67" s="1"/>
  <c r="CO68" s="1"/>
  <c r="BS66" s="1"/>
  <c r="CA55"/>
  <c r="CA56" s="1"/>
  <c r="CL140"/>
  <c r="CL118"/>
  <c r="CA65"/>
  <c r="CT26"/>
  <c r="CT27" s="1"/>
  <c r="CT28" s="1"/>
  <c r="CT34" s="1"/>
  <c r="CT40" s="1"/>
  <c r="CT41" s="1"/>
  <c r="CT42" s="1"/>
  <c r="CT43" s="1"/>
  <c r="CT44" s="1"/>
  <c r="CT57" s="1"/>
  <c r="CO118" l="1"/>
  <c r="CO133"/>
  <c r="CO134" s="1"/>
  <c r="CO135" s="1"/>
  <c r="CT81" s="1"/>
  <c r="CT82" s="1"/>
  <c r="CT83" s="1"/>
  <c r="CT87" s="1"/>
  <c r="CZ84"/>
  <c r="CT99"/>
  <c r="CT100" s="1"/>
  <c r="CT103" s="1"/>
  <c r="CT105" s="1"/>
  <c r="CT106" s="1"/>
  <c r="CT117"/>
  <c r="CA69" s="1"/>
  <c r="CT109"/>
  <c r="DD242" s="1"/>
  <c r="DF204" s="1"/>
  <c r="DF205" s="1"/>
  <c r="DF206" s="1"/>
  <c r="DF207" s="1"/>
  <c r="DF208" s="1"/>
  <c r="CT29"/>
  <c r="CT30" s="1"/>
  <c r="CT31" s="1"/>
  <c r="CT35" s="1"/>
  <c r="CZ103"/>
  <c r="BY92"/>
  <c r="CB92" s="1"/>
  <c r="CA66"/>
  <c r="CZ102"/>
  <c r="BY93"/>
  <c r="CB93" s="1"/>
  <c r="CZ14"/>
  <c r="CZ23" s="1"/>
  <c r="DD78"/>
  <c r="DF40" s="1"/>
  <c r="DF41" s="1"/>
  <c r="DF42" s="1"/>
  <c r="DF43" s="1"/>
  <c r="DF44" s="1"/>
  <c r="CT47"/>
  <c r="CT48" s="1"/>
  <c r="CT49"/>
  <c r="CT50" s="1"/>
  <c r="CT65"/>
  <c r="CZ17" l="1"/>
  <c r="CZ24" s="1"/>
  <c r="CZ25" s="1"/>
  <c r="CZ29" s="1"/>
  <c r="CZ30" s="1"/>
  <c r="CZ31" s="1"/>
  <c r="CZ104"/>
  <c r="CT107"/>
  <c r="CT110" s="1"/>
  <c r="DD324" s="1"/>
  <c r="DF286" s="1"/>
  <c r="DF287" s="1"/>
  <c r="DF288" s="1"/>
  <c r="DF289" s="1"/>
  <c r="DF290" s="1"/>
  <c r="DF209"/>
  <c r="DF210" s="1"/>
  <c r="DF211" s="1"/>
  <c r="DF212" s="1"/>
  <c r="DF213" s="1"/>
  <c r="DF45"/>
  <c r="DF46" s="1"/>
  <c r="DF47" s="1"/>
  <c r="DF48" s="1"/>
  <c r="DF49" s="1"/>
  <c r="BS69"/>
  <c r="CT51"/>
  <c r="CT53" s="1"/>
  <c r="CT54" s="1"/>
  <c r="CT55" s="1"/>
  <c r="CT66" s="1"/>
  <c r="CT118" l="1"/>
  <c r="CA70" s="1"/>
  <c r="CZ18"/>
  <c r="CZ53" s="1"/>
  <c r="CZ55" s="1"/>
  <c r="CZ37"/>
  <c r="CZ38" s="1"/>
  <c r="CZ39" s="1"/>
  <c r="CZ26"/>
  <c r="CZ28" s="1"/>
  <c r="CZ33" s="1"/>
  <c r="CZ35"/>
  <c r="CZ36" s="1"/>
  <c r="DF175"/>
  <c r="DF176" s="1"/>
  <c r="DF188"/>
  <c r="DF291"/>
  <c r="DF292" s="1"/>
  <c r="DF293" s="1"/>
  <c r="DF294" s="1"/>
  <c r="DF295" s="1"/>
  <c r="DF11"/>
  <c r="DF12" s="1"/>
  <c r="DF24"/>
  <c r="BS70"/>
  <c r="CT58"/>
  <c r="DD160" s="1"/>
  <c r="DF122" s="1"/>
  <c r="DF123" s="1"/>
  <c r="DF124" s="1"/>
  <c r="DF125" s="1"/>
  <c r="DF126" s="1"/>
  <c r="CZ41" l="1"/>
  <c r="CZ44" s="1"/>
  <c r="DF127"/>
  <c r="DF128" s="1"/>
  <c r="DF129" s="1"/>
  <c r="DF130" s="1"/>
  <c r="DF131" s="1"/>
  <c r="DF178"/>
  <c r="DF183"/>
  <c r="DF179"/>
  <c r="DF186"/>
  <c r="DF180"/>
  <c r="DF182"/>
  <c r="DF185"/>
  <c r="DF181"/>
  <c r="DF177"/>
  <c r="DF184"/>
  <c r="DF257"/>
  <c r="DF258" s="1"/>
  <c r="DF270"/>
  <c r="DF21"/>
  <c r="DF17"/>
  <c r="DF13"/>
  <c r="DF20"/>
  <c r="DF16"/>
  <c r="DF14"/>
  <c r="DF19"/>
  <c r="DF15"/>
  <c r="DF22"/>
  <c r="DH21" s="1"/>
  <c r="DJ21" s="1"/>
  <c r="DF18"/>
  <c r="CZ15"/>
  <c r="CZ52" s="1"/>
  <c r="CZ54" s="1"/>
  <c r="CZ56" s="1"/>
  <c r="DH183" l="1"/>
  <c r="DJ183" s="1"/>
  <c r="DH17"/>
  <c r="DJ17" s="1"/>
  <c r="DH178"/>
  <c r="DJ178" s="1"/>
  <c r="CZ42"/>
  <c r="CZ47" s="1"/>
  <c r="CZ117" s="1"/>
  <c r="DH179"/>
  <c r="DJ179" s="1"/>
  <c r="DH14"/>
  <c r="DJ14" s="1"/>
  <c r="DH184"/>
  <c r="DJ184" s="1"/>
  <c r="DH13"/>
  <c r="DJ13" s="1"/>
  <c r="DH180"/>
  <c r="DJ180" s="1"/>
  <c r="DH181"/>
  <c r="DJ181" s="1"/>
  <c r="DH182"/>
  <c r="DJ182" s="1"/>
  <c r="DH177"/>
  <c r="DJ177" s="1"/>
  <c r="DH185"/>
  <c r="DJ185" s="1"/>
  <c r="DF267"/>
  <c r="DF263"/>
  <c r="DF259"/>
  <c r="DF266"/>
  <c r="DF260"/>
  <c r="DF264"/>
  <c r="DF265"/>
  <c r="DF261"/>
  <c r="DF268"/>
  <c r="DH267" s="1"/>
  <c r="DJ267" s="1"/>
  <c r="DF262"/>
  <c r="DF106"/>
  <c r="DF93"/>
  <c r="DF94" s="1"/>
  <c r="DH18"/>
  <c r="DJ18" s="1"/>
  <c r="DH15"/>
  <c r="DJ15" s="1"/>
  <c r="DH20"/>
  <c r="DJ20" s="1"/>
  <c r="DH19"/>
  <c r="DJ19" s="1"/>
  <c r="DH16"/>
  <c r="DJ16" s="1"/>
  <c r="CZ58"/>
  <c r="CZ59" s="1"/>
  <c r="CZ57"/>
  <c r="DH263" l="1"/>
  <c r="DJ263" s="1"/>
  <c r="CZ118"/>
  <c r="CZ48"/>
  <c r="DH259"/>
  <c r="DJ259" s="1"/>
  <c r="DH260"/>
  <c r="DJ260" s="1"/>
  <c r="DH186"/>
  <c r="CZ46"/>
  <c r="DH261"/>
  <c r="DJ261" s="1"/>
  <c r="DJ186"/>
  <c r="DH264"/>
  <c r="DJ264" s="1"/>
  <c r="DJ22"/>
  <c r="DH266"/>
  <c r="DJ266" s="1"/>
  <c r="DF103"/>
  <c r="DF99"/>
  <c r="DF95"/>
  <c r="DF100"/>
  <c r="DF96"/>
  <c r="DF104"/>
  <c r="DF101"/>
  <c r="DF97"/>
  <c r="DF102"/>
  <c r="DF98"/>
  <c r="DH265"/>
  <c r="DJ265" s="1"/>
  <c r="DH262"/>
  <c r="DJ262" s="1"/>
  <c r="DH22"/>
  <c r="DH187" l="1"/>
  <c r="DF189" s="1"/>
  <c r="DF194" s="1"/>
  <c r="DH101"/>
  <c r="DJ101" s="1"/>
  <c r="DH95"/>
  <c r="DJ95" s="1"/>
  <c r="DH97"/>
  <c r="DJ97" s="1"/>
  <c r="DH99"/>
  <c r="DJ99" s="1"/>
  <c r="DH23"/>
  <c r="DF25" s="1"/>
  <c r="DF35" s="1"/>
  <c r="DH96"/>
  <c r="DJ96" s="1"/>
  <c r="DH100"/>
  <c r="DJ100" s="1"/>
  <c r="DH103"/>
  <c r="DJ103" s="1"/>
  <c r="DH102"/>
  <c r="DJ102" s="1"/>
  <c r="DJ268"/>
  <c r="DH98"/>
  <c r="DJ98" s="1"/>
  <c r="DH268"/>
  <c r="DF31" l="1"/>
  <c r="DF197"/>
  <c r="DF190"/>
  <c r="DF198"/>
  <c r="DF199"/>
  <c r="DF195"/>
  <c r="DH194" s="1"/>
  <c r="DJ194" s="1"/>
  <c r="DF191"/>
  <c r="DH190" s="1"/>
  <c r="DJ190" s="1"/>
  <c r="DF192"/>
  <c r="DF196"/>
  <c r="DF193"/>
  <c r="DH193" s="1"/>
  <c r="DJ193" s="1"/>
  <c r="DF28"/>
  <c r="DF27"/>
  <c r="DF34"/>
  <c r="DH34" s="1"/>
  <c r="DJ34" s="1"/>
  <c r="DF33"/>
  <c r="DH269"/>
  <c r="DF271" s="1"/>
  <c r="DF280" s="1"/>
  <c r="DF29"/>
  <c r="DF30"/>
  <c r="DF32"/>
  <c r="DF26"/>
  <c r="DJ104"/>
  <c r="DH104"/>
  <c r="DH30" l="1"/>
  <c r="DJ30" s="1"/>
  <c r="DH31"/>
  <c r="DJ31" s="1"/>
  <c r="DH198"/>
  <c r="DJ198" s="1"/>
  <c r="DH196"/>
  <c r="DJ196" s="1"/>
  <c r="DH192"/>
  <c r="DJ192" s="1"/>
  <c r="DH197"/>
  <c r="DJ197" s="1"/>
  <c r="DH191"/>
  <c r="DJ191" s="1"/>
  <c r="DH195"/>
  <c r="DJ195" s="1"/>
  <c r="DH26"/>
  <c r="DJ26" s="1"/>
  <c r="DH27"/>
  <c r="DJ27" s="1"/>
  <c r="DF279"/>
  <c r="DH279" s="1"/>
  <c r="DJ279" s="1"/>
  <c r="DH28"/>
  <c r="DJ28" s="1"/>
  <c r="DF278"/>
  <c r="DF272"/>
  <c r="DH33"/>
  <c r="DJ33" s="1"/>
  <c r="DF281"/>
  <c r="DH280" s="1"/>
  <c r="DJ280" s="1"/>
  <c r="DF275"/>
  <c r="DF273"/>
  <c r="DF276"/>
  <c r="DF274"/>
  <c r="DF277"/>
  <c r="DH29"/>
  <c r="DJ29" s="1"/>
  <c r="DH32"/>
  <c r="DJ32" s="1"/>
  <c r="DH105"/>
  <c r="DF107" s="1"/>
  <c r="DF117" s="1"/>
  <c r="DJ199" l="1"/>
  <c r="DH199" s="1"/>
  <c r="DH273"/>
  <c r="DJ273" s="1"/>
  <c r="DH277"/>
  <c r="DJ277" s="1"/>
  <c r="DH278"/>
  <c r="DJ278" s="1"/>
  <c r="DJ35"/>
  <c r="DH35" s="1"/>
  <c r="DH45" s="1"/>
  <c r="DH46" s="1"/>
  <c r="DH272"/>
  <c r="DJ272" s="1"/>
  <c r="DH275"/>
  <c r="DJ275" s="1"/>
  <c r="DH274"/>
  <c r="DJ274" s="1"/>
  <c r="DH276"/>
  <c r="DJ276" s="1"/>
  <c r="DF111"/>
  <c r="DF110"/>
  <c r="DF116"/>
  <c r="DH116" s="1"/>
  <c r="DJ116" s="1"/>
  <c r="DF115"/>
  <c r="DF112"/>
  <c r="DH111" s="1"/>
  <c r="DJ111" s="1"/>
  <c r="DF109"/>
  <c r="DF108"/>
  <c r="DF114"/>
  <c r="DF113"/>
  <c r="DH209" l="1"/>
  <c r="DH210" s="1"/>
  <c r="DH211" s="1"/>
  <c r="DH203"/>
  <c r="DH39"/>
  <c r="DH40" s="1"/>
  <c r="DH41" s="1"/>
  <c r="DH47"/>
  <c r="DD84" s="1"/>
  <c r="DJ281"/>
  <c r="DH281" s="1"/>
  <c r="DH291" s="1"/>
  <c r="DH292" s="1"/>
  <c r="DH293" s="1"/>
  <c r="DJ284" s="1"/>
  <c r="DF327" s="1"/>
  <c r="DF328" s="1"/>
  <c r="DF329" s="1"/>
  <c r="DF330" s="1"/>
  <c r="DF331" s="1"/>
  <c r="DH114"/>
  <c r="DJ114" s="1"/>
  <c r="DH115"/>
  <c r="DJ115" s="1"/>
  <c r="DH110"/>
  <c r="DJ110" s="1"/>
  <c r="DH112"/>
  <c r="DJ112" s="1"/>
  <c r="DH108"/>
  <c r="DJ108" s="1"/>
  <c r="DH109"/>
  <c r="DJ109" s="1"/>
  <c r="DH113"/>
  <c r="DJ113" s="1"/>
  <c r="DJ202" l="1"/>
  <c r="DF245" s="1"/>
  <c r="DF246" s="1"/>
  <c r="DF247" s="1"/>
  <c r="DF248" s="1"/>
  <c r="DF249" s="1"/>
  <c r="DF250" s="1"/>
  <c r="DF251" s="1"/>
  <c r="DF252" s="1"/>
  <c r="DF253" s="1"/>
  <c r="DF254" s="1"/>
  <c r="DD248"/>
  <c r="DH206"/>
  <c r="DJ244" s="1"/>
  <c r="DD250" s="1"/>
  <c r="CT132" s="1"/>
  <c r="DH204"/>
  <c r="DH205" s="1"/>
  <c r="DJ38"/>
  <c r="DF81" s="1"/>
  <c r="DF82" s="1"/>
  <c r="DF83" s="1"/>
  <c r="DF84" s="1"/>
  <c r="DF85" s="1"/>
  <c r="DF86" s="1"/>
  <c r="DF87" s="1"/>
  <c r="DF88" s="1"/>
  <c r="DF89" s="1"/>
  <c r="DF90" s="1"/>
  <c r="DH42"/>
  <c r="DD82" s="1"/>
  <c r="DD330"/>
  <c r="DH285"/>
  <c r="DJ117"/>
  <c r="DH117" s="1"/>
  <c r="DH121" s="1"/>
  <c r="DH122" s="1"/>
  <c r="DH123" s="1"/>
  <c r="DF332"/>
  <c r="DF333" s="1"/>
  <c r="DF334" s="1"/>
  <c r="DF335" s="1"/>
  <c r="DF336" s="1"/>
  <c r="DD246" l="1"/>
  <c r="DH286"/>
  <c r="DH287" s="1"/>
  <c r="DH288" s="1"/>
  <c r="DF215"/>
  <c r="DF216" s="1"/>
  <c r="DF228"/>
  <c r="DJ80"/>
  <c r="DD86" s="1"/>
  <c r="CT124" s="1"/>
  <c r="DH127"/>
  <c r="DH128" s="1"/>
  <c r="DH129" s="1"/>
  <c r="DH124"/>
  <c r="DD164" s="1"/>
  <c r="DF297"/>
  <c r="DF298" s="1"/>
  <c r="DF310"/>
  <c r="DF64"/>
  <c r="DF51"/>
  <c r="DF52" s="1"/>
  <c r="DJ326" l="1"/>
  <c r="DD332" s="1"/>
  <c r="CT136" s="1"/>
  <c r="DD328"/>
  <c r="DF219"/>
  <c r="DF225"/>
  <c r="DF220"/>
  <c r="DF223"/>
  <c r="DF218"/>
  <c r="DF224"/>
  <c r="DF222"/>
  <c r="DF217"/>
  <c r="DF226"/>
  <c r="DF221"/>
  <c r="DJ120"/>
  <c r="DF163" s="1"/>
  <c r="DF164" s="1"/>
  <c r="DF165" s="1"/>
  <c r="DF166" s="1"/>
  <c r="DF167" s="1"/>
  <c r="DF168" s="1"/>
  <c r="DF169" s="1"/>
  <c r="DF170" s="1"/>
  <c r="DF171" s="1"/>
  <c r="DF172" s="1"/>
  <c r="DF146" s="1"/>
  <c r="DD166"/>
  <c r="DJ162"/>
  <c r="DD168" s="1"/>
  <c r="CT128" s="1"/>
  <c r="DF303"/>
  <c r="DF299"/>
  <c r="DF306"/>
  <c r="DF302"/>
  <c r="DF307"/>
  <c r="DF305"/>
  <c r="DF301"/>
  <c r="DF308"/>
  <c r="DF304"/>
  <c r="DH303" s="1"/>
  <c r="DJ303" s="1"/>
  <c r="DF300"/>
  <c r="DH299" s="1"/>
  <c r="DF59"/>
  <c r="DF55"/>
  <c r="DF62"/>
  <c r="DF58"/>
  <c r="DF54"/>
  <c r="DF61"/>
  <c r="DF57"/>
  <c r="DF53"/>
  <c r="DF60"/>
  <c r="DH59" s="1"/>
  <c r="DJ59" s="1"/>
  <c r="DF56"/>
  <c r="DH219" l="1"/>
  <c r="DJ219" s="1"/>
  <c r="DH222"/>
  <c r="DJ222" s="1"/>
  <c r="DH225"/>
  <c r="DJ225" s="1"/>
  <c r="DH217"/>
  <c r="DJ217" s="1"/>
  <c r="DH218"/>
  <c r="DJ218" s="1"/>
  <c r="DH220"/>
  <c r="DJ220" s="1"/>
  <c r="DH221"/>
  <c r="DH223"/>
  <c r="DJ223" s="1"/>
  <c r="DH224"/>
  <c r="DJ224" s="1"/>
  <c r="DH306"/>
  <c r="DJ306" s="1"/>
  <c r="DH307"/>
  <c r="DJ307" s="1"/>
  <c r="DF133"/>
  <c r="DF134" s="1"/>
  <c r="DF141" s="1"/>
  <c r="DH304"/>
  <c r="DJ304" s="1"/>
  <c r="DH301"/>
  <c r="DJ301" s="1"/>
  <c r="DH300"/>
  <c r="DJ300" s="1"/>
  <c r="DH305"/>
  <c r="DJ305" s="1"/>
  <c r="DH302"/>
  <c r="DJ302" s="1"/>
  <c r="DJ299"/>
  <c r="DH55"/>
  <c r="DJ55" s="1"/>
  <c r="DH56"/>
  <c r="DJ56" s="1"/>
  <c r="DH53"/>
  <c r="DJ53" s="1"/>
  <c r="DH61"/>
  <c r="DJ61" s="1"/>
  <c r="DH58"/>
  <c r="DJ58" s="1"/>
  <c r="DH60"/>
  <c r="DJ60" s="1"/>
  <c r="DH57"/>
  <c r="DJ57" s="1"/>
  <c r="DH54"/>
  <c r="DJ54" s="1"/>
  <c r="DJ221" l="1"/>
  <c r="DJ226" s="1"/>
  <c r="DH226"/>
  <c r="DF140"/>
  <c r="DF138"/>
  <c r="DF143"/>
  <c r="DF139"/>
  <c r="DF135"/>
  <c r="DF142"/>
  <c r="DH141" s="1"/>
  <c r="DJ141" s="1"/>
  <c r="DF136"/>
  <c r="DF144"/>
  <c r="DF137"/>
  <c r="DH308"/>
  <c r="DJ308"/>
  <c r="DJ62"/>
  <c r="DH62"/>
  <c r="DH227" l="1"/>
  <c r="DF229" s="1"/>
  <c r="DF233" s="1"/>
  <c r="DH138"/>
  <c r="DJ138" s="1"/>
  <c r="DH136"/>
  <c r="DJ136" s="1"/>
  <c r="DH139"/>
  <c r="DJ139" s="1"/>
  <c r="DH135"/>
  <c r="DJ135" s="1"/>
  <c r="DH309"/>
  <c r="DF311" s="1"/>
  <c r="DF316" s="1"/>
  <c r="DH143"/>
  <c r="DJ143" s="1"/>
  <c r="DH140"/>
  <c r="DJ140" s="1"/>
  <c r="DH142"/>
  <c r="DJ142" s="1"/>
  <c r="DH137"/>
  <c r="DJ137" s="1"/>
  <c r="DH63"/>
  <c r="DF65" s="1"/>
  <c r="DF237" l="1"/>
  <c r="DF230"/>
  <c r="DF231"/>
  <c r="DF235"/>
  <c r="DF238"/>
  <c r="DH237" s="1"/>
  <c r="DJ237" s="1"/>
  <c r="DF239"/>
  <c r="DF236"/>
  <c r="DF232"/>
  <c r="DH232" s="1"/>
  <c r="DJ232" s="1"/>
  <c r="DF234"/>
  <c r="DH233" s="1"/>
  <c r="DJ233" s="1"/>
  <c r="DF315"/>
  <c r="DH315" s="1"/>
  <c r="DJ315" s="1"/>
  <c r="DF317"/>
  <c r="DH316" s="1"/>
  <c r="DJ316" s="1"/>
  <c r="DF314"/>
  <c r="DF319"/>
  <c r="DF320"/>
  <c r="DF312"/>
  <c r="DF321"/>
  <c r="DF313"/>
  <c r="DF318"/>
  <c r="DJ144"/>
  <c r="DH144"/>
  <c r="DF73"/>
  <c r="DF69"/>
  <c r="DF74"/>
  <c r="DF70"/>
  <c r="DF66"/>
  <c r="DF75"/>
  <c r="DF71"/>
  <c r="DF67"/>
  <c r="DF72"/>
  <c r="DF68"/>
  <c r="DH235" l="1"/>
  <c r="DJ235" s="1"/>
  <c r="DH230"/>
  <c r="DJ230" s="1"/>
  <c r="DH236"/>
  <c r="DJ236" s="1"/>
  <c r="DH317"/>
  <c r="DJ317" s="1"/>
  <c r="DH231"/>
  <c r="DJ231" s="1"/>
  <c r="DH234"/>
  <c r="DJ234" s="1"/>
  <c r="DH238"/>
  <c r="DJ238" s="1"/>
  <c r="DH319"/>
  <c r="DJ319" s="1"/>
  <c r="DH313"/>
  <c r="DJ313" s="1"/>
  <c r="DH318"/>
  <c r="DJ318" s="1"/>
  <c r="DH314"/>
  <c r="DJ314" s="1"/>
  <c r="DH320"/>
  <c r="DJ320" s="1"/>
  <c r="DH312"/>
  <c r="DJ312" s="1"/>
  <c r="DH69"/>
  <c r="DJ69" s="1"/>
  <c r="DH145"/>
  <c r="DF147" s="1"/>
  <c r="DF155" s="1"/>
  <c r="DH71"/>
  <c r="DJ71" s="1"/>
  <c r="DH67"/>
  <c r="DJ67" s="1"/>
  <c r="DH73"/>
  <c r="DJ73" s="1"/>
  <c r="DH66"/>
  <c r="DJ66" s="1"/>
  <c r="DH74"/>
  <c r="DJ74" s="1"/>
  <c r="DH70"/>
  <c r="DJ70" s="1"/>
  <c r="DH72"/>
  <c r="DJ72" s="1"/>
  <c r="DH68"/>
  <c r="DJ68" s="1"/>
  <c r="DJ239" l="1"/>
  <c r="DH239" s="1"/>
  <c r="DH241" s="1"/>
  <c r="DH242" s="1"/>
  <c r="DH244" s="1"/>
  <c r="DJ321"/>
  <c r="DH321" s="1"/>
  <c r="DH323" s="1"/>
  <c r="DH324" s="1"/>
  <c r="DH332" s="1"/>
  <c r="DH333" s="1"/>
  <c r="DH334" s="1"/>
  <c r="DJ332" s="1"/>
  <c r="DD336" s="1"/>
  <c r="CT138" s="1"/>
  <c r="DF154"/>
  <c r="DH154" s="1"/>
  <c r="DJ154" s="1"/>
  <c r="DF153"/>
  <c r="DF156"/>
  <c r="DH155" s="1"/>
  <c r="DJ155" s="1"/>
  <c r="DF152"/>
  <c r="DF149"/>
  <c r="DF151"/>
  <c r="DF148"/>
  <c r="DF157"/>
  <c r="DF150"/>
  <c r="DJ75"/>
  <c r="DH75" s="1"/>
  <c r="DH77" s="1"/>
  <c r="DH78" s="1"/>
  <c r="DH250" l="1"/>
  <c r="DH251" s="1"/>
  <c r="DH252" s="1"/>
  <c r="DJ250" s="1"/>
  <c r="DD254" s="1"/>
  <c r="CT134" s="1"/>
  <c r="DH149"/>
  <c r="DJ149" s="1"/>
  <c r="DH245"/>
  <c r="DH246" s="1"/>
  <c r="DH247" s="1"/>
  <c r="DJ247" s="1"/>
  <c r="DD252" s="1"/>
  <c r="CT133" s="1"/>
  <c r="DH326"/>
  <c r="DH148"/>
  <c r="DJ148" s="1"/>
  <c r="DH151"/>
  <c r="DJ151" s="1"/>
  <c r="DH153"/>
  <c r="DJ153" s="1"/>
  <c r="DH156"/>
  <c r="DJ156" s="1"/>
  <c r="DH152"/>
  <c r="DJ152" s="1"/>
  <c r="DH150"/>
  <c r="DJ150" s="1"/>
  <c r="DH86"/>
  <c r="DH87" s="1"/>
  <c r="DH88" s="1"/>
  <c r="DJ86" s="1"/>
  <c r="DD90" s="1"/>
  <c r="CT126" s="1"/>
  <c r="DH80"/>
  <c r="DH327" l="1"/>
  <c r="DH328" s="1"/>
  <c r="DH329" s="1"/>
  <c r="DJ329" s="1"/>
  <c r="DD334" s="1"/>
  <c r="CT137" s="1"/>
  <c r="DJ157"/>
  <c r="DH157" s="1"/>
  <c r="DH159" s="1"/>
  <c r="DH160" s="1"/>
  <c r="DH81"/>
  <c r="DH82" s="1"/>
  <c r="DH83" s="1"/>
  <c r="DJ83" s="1"/>
  <c r="DD88" s="1"/>
  <c r="CT125" s="1"/>
  <c r="BY48"/>
  <c r="DH162" l="1"/>
  <c r="DH168"/>
  <c r="DH169" s="1"/>
  <c r="DH170" s="1"/>
  <c r="DJ168" s="1"/>
  <c r="DD172" s="1"/>
  <c r="CT130" s="1"/>
  <c r="BS48"/>
  <c r="BV48"/>
  <c r="CB48"/>
  <c r="DH163" l="1"/>
  <c r="DH164" s="1"/>
  <c r="DH165" s="1"/>
  <c r="DJ165" s="1"/>
  <c r="DD170" s="1"/>
  <c r="CT129" s="1"/>
  <c r="BU48"/>
  <c r="BT48"/>
  <c r="CA48" l="1"/>
  <c r="CD48" l="1"/>
  <c r="BX48"/>
  <c r="BZ48"/>
  <c r="CC48"/>
  <c r="BW48" l="1"/>
  <c r="CZ119" l="1"/>
  <c r="CZ121" s="1"/>
  <c r="BS131" s="1"/>
  <c r="AQ25" s="1"/>
  <c r="AQ106" l="1"/>
  <c r="AQ66"/>
  <c r="BY80"/>
  <c r="CB80" s="1"/>
  <c r="CB81" s="1"/>
  <c r="BY99"/>
  <c r="BY81" l="1"/>
  <c r="CB84" s="1"/>
  <c r="CB99"/>
  <c r="CB100" s="1"/>
  <c r="BY100"/>
  <c r="CZ64"/>
  <c r="CZ65" l="1"/>
  <c r="CZ66" s="1"/>
  <c r="CB103"/>
  <c r="BS58"/>
  <c r="BS59" s="1"/>
  <c r="BS60" s="1"/>
  <c r="BS62" s="1"/>
  <c r="BP118" s="1"/>
  <c r="BR88"/>
  <c r="CZ75" l="1"/>
  <c r="CZ93" s="1"/>
  <c r="CZ112" s="1"/>
  <c r="CB126" s="1"/>
  <c r="AS110" s="1"/>
  <c r="EM95" s="1"/>
  <c r="CZ70"/>
  <c r="CZ88" s="1"/>
  <c r="CZ107" s="1"/>
  <c r="BS126" s="1"/>
  <c r="AS64" s="1"/>
  <c r="EM47" s="1"/>
  <c r="CZ69"/>
  <c r="CZ87" s="1"/>
  <c r="CZ106" s="1"/>
  <c r="BS125" s="1"/>
  <c r="AS62" s="1"/>
  <c r="EM45" s="1"/>
  <c r="CZ71"/>
  <c r="CZ89" s="1"/>
  <c r="CZ108" s="1"/>
  <c r="BS127" s="1"/>
  <c r="AR103" s="1"/>
  <c r="EK88" s="1"/>
  <c r="CZ74"/>
  <c r="CZ92" s="1"/>
  <c r="CZ111" s="1"/>
  <c r="CB125" s="1"/>
  <c r="AS27" s="1"/>
  <c r="EM25" s="1"/>
  <c r="CZ76"/>
  <c r="CZ94" s="1"/>
  <c r="CZ113" s="1"/>
  <c r="CB127" s="1"/>
  <c r="AR28" s="1"/>
  <c r="EK26" s="1"/>
  <c r="CA58"/>
  <c r="CA59" s="1"/>
  <c r="CA60" s="1"/>
  <c r="CA62" s="1"/>
  <c r="BY118" s="1"/>
  <c r="BR108"/>
  <c r="BS119"/>
  <c r="BX119"/>
  <c r="BT119"/>
  <c r="BU119"/>
  <c r="BV119"/>
  <c r="BW119"/>
  <c r="BQ119"/>
  <c r="AQ102" s="1"/>
  <c r="EJ87" s="1"/>
  <c r="BR119"/>
  <c r="BS88"/>
  <c r="BS139" s="1"/>
  <c r="BT88"/>
  <c r="BS140" s="1"/>
  <c r="AR63" l="1"/>
  <c r="EK46" s="1"/>
  <c r="AS70"/>
  <c r="EM53" s="1"/>
  <c r="AS29"/>
  <c r="EM27" s="1"/>
  <c r="AR22"/>
  <c r="EK20" s="1"/>
  <c r="AS102"/>
  <c r="EM87" s="1"/>
  <c r="AS21"/>
  <c r="EM19" s="1"/>
  <c r="AS23"/>
  <c r="EM21" s="1"/>
  <c r="AR109"/>
  <c r="EK94" s="1"/>
  <c r="AS104"/>
  <c r="EM89" s="1"/>
  <c r="AR69"/>
  <c r="EK52" s="1"/>
  <c r="BS108"/>
  <c r="CB139" s="1"/>
  <c r="BT108"/>
  <c r="CB140" s="1"/>
  <c r="AS68"/>
  <c r="EM51" s="1"/>
  <c r="AS108"/>
  <c r="EM93" s="1"/>
  <c r="CC119"/>
  <c r="CG119"/>
  <c r="BZ119"/>
  <c r="CD119"/>
  <c r="AU27" s="1"/>
  <c r="CB119"/>
  <c r="CA119"/>
  <c r="CF119"/>
  <c r="CE119"/>
  <c r="AQ21"/>
  <c r="EJ19" s="1"/>
  <c r="AQ62"/>
  <c r="EJ45" s="1"/>
  <c r="AQ24"/>
  <c r="EJ22" s="1"/>
  <c r="AQ65"/>
  <c r="EJ48" s="1"/>
  <c r="AQ105"/>
  <c r="EJ90" s="1"/>
  <c r="AQ103"/>
  <c r="EJ88" s="1"/>
  <c r="AQ22"/>
  <c r="EJ20" s="1"/>
  <c r="AQ63"/>
  <c r="AQ27"/>
  <c r="EJ25" s="1"/>
  <c r="AQ68"/>
  <c r="EJ51" s="1"/>
  <c r="AQ108"/>
  <c r="EJ93" s="1"/>
  <c r="AQ69"/>
  <c r="EJ52" s="1"/>
  <c r="AQ28"/>
  <c r="EJ26" s="1"/>
  <c r="AQ109"/>
  <c r="EJ94" s="1"/>
  <c r="AQ23"/>
  <c r="EJ21" s="1"/>
  <c r="AQ104"/>
  <c r="EJ89" s="1"/>
  <c r="AQ64"/>
  <c r="EJ47" s="1"/>
  <c r="AP99"/>
  <c r="EH84" s="1"/>
  <c r="AP18"/>
  <c r="EH16" s="1"/>
  <c r="AP59"/>
  <c r="EH42" s="1"/>
  <c r="AP17"/>
  <c r="EH15" s="1"/>
  <c r="AP58"/>
  <c r="EH41" s="1"/>
  <c r="AP98"/>
  <c r="EH83" s="1"/>
  <c r="AQ70"/>
  <c r="EJ53" s="1"/>
  <c r="AQ110"/>
  <c r="EJ95" s="1"/>
  <c r="AQ29"/>
  <c r="EJ27" s="1"/>
  <c r="AQ30"/>
  <c r="EJ28" s="1"/>
  <c r="AQ71"/>
  <c r="EJ54" s="1"/>
  <c r="AQ111"/>
  <c r="EJ96" s="1"/>
  <c r="EJ46" l="1"/>
  <c r="EO46"/>
  <c r="AU64"/>
  <c r="EO47" s="1"/>
  <c r="AU23"/>
  <c r="EO21" s="1"/>
  <c r="AU104"/>
  <c r="EO89" s="1"/>
  <c r="AU65"/>
  <c r="EO48" s="1"/>
  <c r="AU24"/>
  <c r="EO22" s="1"/>
  <c r="AU105"/>
  <c r="EO90" s="1"/>
  <c r="AU71"/>
  <c r="EO54" s="1"/>
  <c r="AU111"/>
  <c r="EO96" s="1"/>
  <c r="AU30"/>
  <c r="EO28" s="1"/>
  <c r="AS18"/>
  <c r="EM16" s="1"/>
  <c r="AS59"/>
  <c r="EN42" s="1"/>
  <c r="AS99"/>
  <c r="EM84" s="1"/>
  <c r="AU70"/>
  <c r="EO53" s="1"/>
  <c r="AU29"/>
  <c r="EO27" s="1"/>
  <c r="EO25"/>
  <c r="AU110"/>
  <c r="EO95" s="1"/>
  <c r="AU62"/>
  <c r="EO45" s="1"/>
  <c r="AU21"/>
  <c r="EO19" s="1"/>
  <c r="AU102"/>
  <c r="EO87" s="1"/>
  <c r="AS58"/>
  <c r="EN41" s="1"/>
  <c r="AS17"/>
  <c r="EM15" s="1"/>
  <c r="AS98"/>
  <c r="EM83" s="1"/>
  <c r="AU63"/>
  <c r="AU103"/>
  <c r="EO88" s="1"/>
  <c r="AU22"/>
  <c r="EO20" s="1"/>
  <c r="AU69"/>
  <c r="EO52" s="1"/>
  <c r="AU109"/>
  <c r="EO94" s="1"/>
  <c r="AU28"/>
  <c r="EO26" s="1"/>
  <c r="AU68"/>
  <c r="EO51" s="1"/>
  <c r="AU108"/>
  <c r="EO93" s="1"/>
</calcChain>
</file>

<file path=xl/comments1.xml><?xml version="1.0" encoding="utf-8"?>
<comments xmlns="http://schemas.openxmlformats.org/spreadsheetml/2006/main">
  <authors>
    <author>Giannis</author>
  </authors>
  <commentList>
    <comment ref="EI19" authorId="0">
      <text>
        <r>
          <rPr>
            <b/>
            <sz val="11"/>
            <color indexed="10"/>
            <rFont val="Tahoma"/>
            <family val="2"/>
            <charset val="161"/>
          </rPr>
          <t>α</t>
        </r>
        <r>
          <rPr>
            <sz val="11"/>
            <color indexed="10"/>
            <rFont val="Tahoma"/>
            <family val="2"/>
            <charset val="161"/>
          </rPr>
          <t xml:space="preserve"> alfa alf alpha alp
</t>
        </r>
        <r>
          <rPr>
            <b/>
            <sz val="11"/>
            <color indexed="10"/>
            <rFont val="Tahoma"/>
            <family val="2"/>
            <charset val="161"/>
          </rPr>
          <t>β</t>
        </r>
        <r>
          <rPr>
            <sz val="11"/>
            <color indexed="10"/>
            <rFont val="Tahoma"/>
            <family val="2"/>
            <charset val="161"/>
          </rPr>
          <t xml:space="preserve"> beta bet
</t>
        </r>
        <r>
          <rPr>
            <b/>
            <sz val="11"/>
            <color indexed="10"/>
            <rFont val="Tahoma"/>
            <family val="2"/>
            <charset val="161"/>
          </rPr>
          <t>γ</t>
        </r>
        <r>
          <rPr>
            <sz val="11"/>
            <color indexed="10"/>
            <rFont val="Tahoma"/>
            <family val="2"/>
            <charset val="161"/>
          </rPr>
          <t xml:space="preserve"> gama gam
</t>
        </r>
        <r>
          <rPr>
            <b/>
            <sz val="11"/>
            <color indexed="10"/>
            <rFont val="Tahoma"/>
            <family val="2"/>
            <charset val="161"/>
          </rPr>
          <t>δ</t>
        </r>
        <r>
          <rPr>
            <sz val="11"/>
            <color indexed="10"/>
            <rFont val="Tahoma"/>
            <family val="2"/>
            <charset val="161"/>
          </rPr>
          <t xml:space="preserve"> delta del
</t>
        </r>
        <r>
          <rPr>
            <b/>
            <sz val="11"/>
            <color indexed="10"/>
            <rFont val="Tahoma"/>
            <family val="2"/>
            <charset val="161"/>
          </rPr>
          <t>ε</t>
        </r>
        <r>
          <rPr>
            <sz val="11"/>
            <color indexed="10"/>
            <rFont val="Tahoma"/>
            <family val="2"/>
            <charset val="161"/>
          </rPr>
          <t xml:space="preserve"> epsilon eps
</t>
        </r>
        <r>
          <rPr>
            <b/>
            <sz val="11"/>
            <color indexed="10"/>
            <rFont val="Tahoma"/>
            <family val="2"/>
            <charset val="161"/>
          </rPr>
          <t>ζ</t>
        </r>
        <r>
          <rPr>
            <sz val="11"/>
            <color indexed="10"/>
            <rFont val="Tahoma"/>
            <family val="2"/>
            <charset val="161"/>
          </rPr>
          <t xml:space="preserve"> zet zeta
</t>
        </r>
        <r>
          <rPr>
            <b/>
            <sz val="11"/>
            <color indexed="10"/>
            <rFont val="Tahoma"/>
            <family val="2"/>
            <charset val="161"/>
          </rPr>
          <t>η</t>
        </r>
        <r>
          <rPr>
            <sz val="11"/>
            <color indexed="10"/>
            <rFont val="Tahoma"/>
            <family val="2"/>
            <charset val="161"/>
          </rPr>
          <t xml:space="preserve"> eta ita
</t>
        </r>
        <r>
          <rPr>
            <b/>
            <sz val="11"/>
            <color indexed="10"/>
            <rFont val="Tahoma"/>
            <family val="2"/>
            <charset val="161"/>
          </rPr>
          <t>θ</t>
        </r>
        <r>
          <rPr>
            <sz val="11"/>
            <color indexed="10"/>
            <rFont val="Tahoma"/>
            <family val="2"/>
            <charset val="161"/>
          </rPr>
          <t xml:space="preserve"> teta tet the theta</t>
        </r>
        <r>
          <rPr>
            <b/>
            <sz val="9"/>
            <color indexed="10"/>
            <rFont val="Tahoma"/>
            <family val="2"/>
            <charset val="161"/>
          </rPr>
          <t xml:space="preserve">
</t>
        </r>
        <r>
          <rPr>
            <sz val="9"/>
            <color indexed="34"/>
            <rFont val="Tahoma"/>
            <family val="2"/>
            <charset val="161"/>
          </rPr>
          <t xml:space="preserve">
</t>
        </r>
      </text>
    </comment>
    <comment ref="EI20" authorId="0">
      <text>
        <r>
          <rPr>
            <b/>
            <sz val="9"/>
            <color indexed="81"/>
            <rFont val="Tahoma"/>
            <family val="2"/>
            <charset val="161"/>
          </rPr>
          <t xml:space="preserve"> </t>
        </r>
        <r>
          <rPr>
            <sz val="9"/>
            <color indexed="34"/>
            <rFont val="Tahoma"/>
            <family val="2"/>
            <charset val="161"/>
          </rPr>
          <t xml:space="preserve">
</t>
        </r>
        <r>
          <rPr>
            <b/>
            <sz val="11"/>
            <color indexed="10"/>
            <rFont val="Times New Roman"/>
            <family val="1"/>
            <charset val="161"/>
          </rPr>
          <t>ι</t>
        </r>
        <r>
          <rPr>
            <sz val="11"/>
            <color indexed="10"/>
            <rFont val="Times New Roman"/>
            <family val="1"/>
            <charset val="161"/>
          </rPr>
          <t xml:space="preserve">  iota  iot
</t>
        </r>
        <r>
          <rPr>
            <b/>
            <sz val="11"/>
            <color indexed="10"/>
            <rFont val="Times New Roman"/>
            <family val="1"/>
            <charset val="161"/>
          </rPr>
          <t>κ</t>
        </r>
        <r>
          <rPr>
            <sz val="11"/>
            <color indexed="10"/>
            <rFont val="Times New Roman"/>
            <family val="1"/>
            <charset val="161"/>
          </rPr>
          <t xml:space="preserve"> kappa kapa  kap
</t>
        </r>
        <r>
          <rPr>
            <b/>
            <sz val="11"/>
            <color indexed="10"/>
            <rFont val="Times New Roman"/>
            <family val="1"/>
            <charset val="161"/>
          </rPr>
          <t>λ</t>
        </r>
        <r>
          <rPr>
            <sz val="11"/>
            <color indexed="10"/>
            <rFont val="Times New Roman"/>
            <family val="1"/>
            <charset val="161"/>
          </rPr>
          <t xml:space="preserve"> lamda lam
</t>
        </r>
        <r>
          <rPr>
            <b/>
            <sz val="11"/>
            <color indexed="10"/>
            <rFont val="Times New Roman"/>
            <family val="1"/>
            <charset val="161"/>
          </rPr>
          <t>μ</t>
        </r>
        <r>
          <rPr>
            <sz val="11"/>
            <color indexed="10"/>
            <rFont val="Times New Roman"/>
            <family val="1"/>
            <charset val="161"/>
          </rPr>
          <t xml:space="preserve">  mi  me  mu
</t>
        </r>
        <r>
          <rPr>
            <b/>
            <sz val="11"/>
            <color indexed="10"/>
            <rFont val="Times New Roman"/>
            <family val="1"/>
            <charset val="161"/>
          </rPr>
          <t>ν</t>
        </r>
        <r>
          <rPr>
            <sz val="11"/>
            <color indexed="10"/>
            <rFont val="Times New Roman"/>
            <family val="1"/>
            <charset val="161"/>
          </rPr>
          <t xml:space="preserve">  ni  ne  nu
</t>
        </r>
        <r>
          <rPr>
            <b/>
            <sz val="11"/>
            <color indexed="10"/>
            <rFont val="Times New Roman"/>
            <family val="1"/>
            <charset val="161"/>
          </rPr>
          <t>ξ</t>
        </r>
        <r>
          <rPr>
            <sz val="11"/>
            <color indexed="10"/>
            <rFont val="Times New Roman"/>
            <family val="1"/>
            <charset val="161"/>
          </rPr>
          <t xml:space="preserve">  ksi
</t>
        </r>
        <r>
          <rPr>
            <b/>
            <sz val="11"/>
            <color indexed="10"/>
            <rFont val="Times New Roman"/>
            <family val="1"/>
            <charset val="161"/>
          </rPr>
          <t>ο</t>
        </r>
        <r>
          <rPr>
            <sz val="11"/>
            <color indexed="10"/>
            <rFont val="Times New Roman"/>
            <family val="1"/>
            <charset val="161"/>
          </rPr>
          <t xml:space="preserve">  omicron  omi
</t>
        </r>
        <r>
          <rPr>
            <b/>
            <sz val="11"/>
            <color indexed="10"/>
            <rFont val="Times New Roman"/>
            <family val="1"/>
            <charset val="161"/>
          </rPr>
          <t>π</t>
        </r>
        <r>
          <rPr>
            <sz val="11"/>
            <color indexed="10"/>
            <rFont val="Times New Roman"/>
            <family val="1"/>
            <charset val="161"/>
          </rPr>
          <t xml:space="preserve">  pi</t>
        </r>
        <r>
          <rPr>
            <sz val="9"/>
            <color indexed="10"/>
            <rFont val="Tahoma"/>
            <family val="2"/>
            <charset val="161"/>
          </rPr>
          <t xml:space="preserve">
</t>
        </r>
      </text>
    </comment>
    <comment ref="AP21" authorId="0">
      <text>
        <r>
          <rPr>
            <b/>
            <sz val="9"/>
            <color indexed="81"/>
            <rFont val="Tahoma"/>
            <family val="2"/>
            <charset val="161"/>
          </rPr>
          <t xml:space="preserve"> </t>
        </r>
        <r>
          <rPr>
            <sz val="9"/>
            <color indexed="34"/>
            <rFont val="Tahoma"/>
            <family val="2"/>
            <charset val="161"/>
          </rPr>
          <t xml:space="preserve">
 </t>
        </r>
        <r>
          <rPr>
            <b/>
            <sz val="9"/>
            <color indexed="10"/>
            <rFont val="Tahoma"/>
            <family val="2"/>
            <charset val="161"/>
          </rPr>
          <t xml:space="preserve">NGC = νγκ </t>
        </r>
        <r>
          <rPr>
            <sz val="9"/>
            <color indexed="10"/>
            <rFont val="Tahoma"/>
            <family val="2"/>
            <charset val="161"/>
          </rPr>
          <t>ή</t>
        </r>
        <r>
          <rPr>
            <b/>
            <sz val="9"/>
            <color indexed="10"/>
            <rFont val="Tahoma"/>
            <family val="2"/>
            <charset val="161"/>
          </rPr>
          <t xml:space="preserve"> ΝΓΚ</t>
        </r>
        <r>
          <rPr>
            <sz val="9"/>
            <color indexed="10"/>
            <rFont val="Tahoma"/>
            <family val="2"/>
            <charset val="161"/>
          </rPr>
          <t xml:space="preserve">
Γράφουμε </t>
        </r>
        <r>
          <rPr>
            <b/>
            <sz val="9"/>
            <color indexed="10"/>
            <rFont val="Tahoma"/>
            <family val="2"/>
            <charset val="161"/>
          </rPr>
          <t>νγκ</t>
        </r>
        <r>
          <rPr>
            <sz val="9"/>
            <color indexed="10"/>
            <rFont val="Tahoma"/>
            <family val="2"/>
            <charset val="161"/>
          </rPr>
          <t xml:space="preserve"> καινό και αμέσως τον αύξον αριθμό του αντικειμένου. 
Πχ.   </t>
        </r>
        <r>
          <rPr>
            <b/>
            <sz val="9"/>
            <color indexed="10"/>
            <rFont val="Tahoma"/>
            <family val="2"/>
            <charset val="161"/>
          </rPr>
          <t xml:space="preserve"> νγκ 1964</t>
        </r>
        <r>
          <rPr>
            <sz val="9"/>
            <color indexed="10"/>
            <rFont val="Tahoma"/>
            <family val="2"/>
            <charset val="161"/>
          </rPr>
          <t xml:space="preserve">
 Όταν ο αύξον αριθμός του αντικειμένου είναι &lt; 1000
 βάζουμε τόσα μηδέν μπροστά, όσα θα χρειαστεί,
για να έχουμε ένα σύνολο 4 ψηφίων.
Πχ. Τα NGC40, NGC253 NGC1964
 στο πρόγραμμα τα γράφουμε:
NGC40 =      </t>
        </r>
        <r>
          <rPr>
            <b/>
            <sz val="9"/>
            <color indexed="10"/>
            <rFont val="Tahoma"/>
            <family val="2"/>
            <charset val="161"/>
          </rPr>
          <t>νγκ 0040</t>
        </r>
        <r>
          <rPr>
            <sz val="9"/>
            <color indexed="10"/>
            <rFont val="Tahoma"/>
            <family val="2"/>
            <charset val="161"/>
          </rPr>
          <t xml:space="preserve">  
 NGC253 =   </t>
        </r>
        <r>
          <rPr>
            <b/>
            <sz val="9"/>
            <color indexed="10"/>
            <rFont val="Tahoma"/>
            <family val="2"/>
            <charset val="161"/>
          </rPr>
          <t>νγκ 0253</t>
        </r>
        <r>
          <rPr>
            <sz val="9"/>
            <color indexed="10"/>
            <rFont val="Tahoma"/>
            <family val="2"/>
            <charset val="161"/>
          </rPr>
          <t xml:space="preserve">
NGC1924 =  </t>
        </r>
        <r>
          <rPr>
            <b/>
            <sz val="9"/>
            <color indexed="10"/>
            <rFont val="Tahoma"/>
            <family val="2"/>
            <charset val="161"/>
          </rPr>
          <t>νγκ 1964</t>
        </r>
        <r>
          <rPr>
            <sz val="9"/>
            <color indexed="34"/>
            <rFont val="Tahoma"/>
            <family val="2"/>
            <charset val="161"/>
          </rPr>
          <t xml:space="preserve">
</t>
        </r>
      </text>
    </comment>
    <comment ref="EI21" authorId="0">
      <text>
        <r>
          <rPr>
            <b/>
            <sz val="9"/>
            <color indexed="81"/>
            <rFont val="Tahoma"/>
            <family val="2"/>
            <charset val="161"/>
          </rPr>
          <t xml:space="preserve"> </t>
        </r>
        <r>
          <rPr>
            <sz val="9"/>
            <color indexed="34"/>
            <rFont val="Tahoma"/>
            <family val="2"/>
            <charset val="161"/>
          </rPr>
          <t xml:space="preserve">
</t>
        </r>
        <r>
          <rPr>
            <b/>
            <sz val="11"/>
            <color indexed="10"/>
            <rFont val="Times New Roman"/>
            <family val="1"/>
            <charset val="161"/>
          </rPr>
          <t>ρ</t>
        </r>
        <r>
          <rPr>
            <sz val="11"/>
            <color indexed="10"/>
            <rFont val="Times New Roman"/>
            <family val="1"/>
            <charset val="161"/>
          </rPr>
          <t xml:space="preserve">  ro
</t>
        </r>
        <r>
          <rPr>
            <b/>
            <sz val="11"/>
            <color indexed="10"/>
            <rFont val="Times New Roman"/>
            <family val="1"/>
            <charset val="161"/>
          </rPr>
          <t>σ</t>
        </r>
        <r>
          <rPr>
            <sz val="11"/>
            <color indexed="10"/>
            <rFont val="Times New Roman"/>
            <family val="1"/>
            <charset val="161"/>
          </rPr>
          <t xml:space="preserve"> sigma  sig
</t>
        </r>
        <r>
          <rPr>
            <b/>
            <sz val="11"/>
            <color indexed="10"/>
            <rFont val="Times New Roman"/>
            <family val="1"/>
            <charset val="161"/>
          </rPr>
          <t>τ</t>
        </r>
        <r>
          <rPr>
            <sz val="11"/>
            <color indexed="10"/>
            <rFont val="Times New Roman"/>
            <family val="1"/>
            <charset val="161"/>
          </rPr>
          <t xml:space="preserve">  tau
</t>
        </r>
        <r>
          <rPr>
            <b/>
            <sz val="11"/>
            <color indexed="10"/>
            <rFont val="Times New Roman"/>
            <family val="1"/>
            <charset val="161"/>
          </rPr>
          <t>υ</t>
        </r>
        <r>
          <rPr>
            <sz val="11"/>
            <color indexed="10"/>
            <rFont val="Times New Roman"/>
            <family val="1"/>
            <charset val="161"/>
          </rPr>
          <t xml:space="preserve">  hypsilon  hyps upsilon  ups
</t>
        </r>
        <r>
          <rPr>
            <b/>
            <sz val="11"/>
            <color indexed="10"/>
            <rFont val="Times New Roman"/>
            <family val="1"/>
            <charset val="161"/>
          </rPr>
          <t>φ</t>
        </r>
        <r>
          <rPr>
            <sz val="11"/>
            <color indexed="10"/>
            <rFont val="Times New Roman"/>
            <family val="1"/>
            <charset val="161"/>
          </rPr>
          <t xml:space="preserve">  fi  phi
</t>
        </r>
        <r>
          <rPr>
            <b/>
            <sz val="11"/>
            <color indexed="10"/>
            <rFont val="Times New Roman"/>
            <family val="1"/>
            <charset val="161"/>
          </rPr>
          <t>χ</t>
        </r>
        <r>
          <rPr>
            <sz val="11"/>
            <color indexed="10"/>
            <rFont val="Times New Roman"/>
            <family val="1"/>
            <charset val="161"/>
          </rPr>
          <t xml:space="preserve">  hi  he chi
</t>
        </r>
        <r>
          <rPr>
            <b/>
            <sz val="11"/>
            <color indexed="10"/>
            <rFont val="Times New Roman"/>
            <family val="1"/>
            <charset val="161"/>
          </rPr>
          <t>ψ</t>
        </r>
        <r>
          <rPr>
            <sz val="11"/>
            <color indexed="10"/>
            <rFont val="Times New Roman"/>
            <family val="1"/>
            <charset val="161"/>
          </rPr>
          <t xml:space="preserve">  psi  
</t>
        </r>
        <r>
          <rPr>
            <b/>
            <sz val="11"/>
            <color indexed="10"/>
            <rFont val="Times New Roman"/>
            <family val="1"/>
            <charset val="161"/>
          </rPr>
          <t>ω</t>
        </r>
        <r>
          <rPr>
            <sz val="11"/>
            <color indexed="10"/>
            <rFont val="Times New Roman"/>
            <family val="1"/>
            <charset val="161"/>
          </rPr>
          <t xml:space="preserve">  omega  ome</t>
        </r>
        <r>
          <rPr>
            <sz val="9"/>
            <color indexed="10"/>
            <rFont val="Tahoma"/>
            <family val="2"/>
            <charset val="161"/>
          </rPr>
          <t xml:space="preserve">
</t>
        </r>
        <r>
          <rPr>
            <sz val="9"/>
            <color indexed="34"/>
            <rFont val="Tahoma"/>
            <family val="2"/>
            <charset val="161"/>
          </rPr>
          <t xml:space="preserve">
</t>
        </r>
      </text>
    </comment>
    <comment ref="AP22" authorId="0">
      <text>
        <r>
          <rPr>
            <b/>
            <sz val="9"/>
            <color indexed="81"/>
            <rFont val="Tahoma"/>
            <family val="2"/>
            <charset val="161"/>
          </rPr>
          <t xml:space="preserve"> </t>
        </r>
        <r>
          <rPr>
            <sz val="9"/>
            <color indexed="34"/>
            <rFont val="Tahoma"/>
            <family val="2"/>
            <charset val="161"/>
          </rPr>
          <t xml:space="preserve">
 </t>
        </r>
        <r>
          <rPr>
            <sz val="9"/>
            <color indexed="10"/>
            <rFont val="Tahoma"/>
            <family val="2"/>
            <charset val="161"/>
          </rPr>
          <t xml:space="preserve">IC = </t>
        </r>
        <r>
          <rPr>
            <b/>
            <sz val="9"/>
            <color indexed="10"/>
            <rFont val="Tahoma"/>
            <family val="2"/>
            <charset val="161"/>
          </rPr>
          <t>εκ  ΕΚ</t>
        </r>
        <r>
          <rPr>
            <sz val="9"/>
            <color indexed="10"/>
            <rFont val="Tahoma"/>
            <family val="2"/>
            <charset val="161"/>
          </rPr>
          <t xml:space="preserve">
Γράφουμε </t>
        </r>
        <r>
          <rPr>
            <b/>
            <sz val="9"/>
            <color indexed="10"/>
            <rFont val="Tahoma"/>
            <family val="2"/>
            <charset val="161"/>
          </rPr>
          <t>εκ</t>
        </r>
        <r>
          <rPr>
            <sz val="9"/>
            <color indexed="10"/>
            <rFont val="Tahoma"/>
            <family val="2"/>
            <charset val="161"/>
          </rPr>
          <t xml:space="preserve"> ή</t>
        </r>
        <r>
          <rPr>
            <b/>
            <sz val="9"/>
            <color indexed="10"/>
            <rFont val="Tahoma"/>
            <family val="2"/>
            <charset val="161"/>
          </rPr>
          <t xml:space="preserve"> ΕΚ</t>
        </r>
        <r>
          <rPr>
            <sz val="9"/>
            <color indexed="10"/>
            <rFont val="Tahoma"/>
            <family val="2"/>
            <charset val="161"/>
          </rPr>
          <t xml:space="preserve">, καινό και αμέσως τον αύξον αριθμό του αντικειμένου.
Πχ.  </t>
        </r>
        <r>
          <rPr>
            <b/>
            <sz val="9"/>
            <color indexed="10"/>
            <rFont val="Tahoma"/>
            <family val="2"/>
            <charset val="161"/>
          </rPr>
          <t xml:space="preserve"> εκ 2003</t>
        </r>
        <r>
          <rPr>
            <sz val="9"/>
            <color indexed="10"/>
            <rFont val="Tahoma"/>
            <family val="2"/>
            <charset val="161"/>
          </rPr>
          <t xml:space="preserve">
Όταν ο αύξον αριθμός του αντικειμένου είναι &lt; 1000
 βάζουμε τόσα μηδέν μπροστά, όσα θα χρειαστεί
για να έχουμε ένα σύνολο 4 ψηφίων.
Βέβαια το IC418 είναι αυτό με τον μικρότερο
Αριθμό IC που έχω καταχωρίσει. 
Είναι ένα μικρό αλλά φωτεινότατο πλανητικό
στον Λογωό. 
Στο πρόγραμμα το δίνουμε   </t>
        </r>
        <r>
          <rPr>
            <b/>
            <sz val="9"/>
            <color indexed="10"/>
            <rFont val="Tahoma"/>
            <family val="2"/>
            <charset val="161"/>
          </rPr>
          <t>εκ 0418</t>
        </r>
        <r>
          <rPr>
            <sz val="9"/>
            <color indexed="34"/>
            <rFont val="Tahoma"/>
            <family val="2"/>
            <charset val="161"/>
          </rPr>
          <t xml:space="preserve">
</t>
        </r>
      </text>
    </comment>
    <comment ref="AP23" authorId="0">
      <text>
        <r>
          <rPr>
            <b/>
            <sz val="9"/>
            <color indexed="81"/>
            <rFont val="Tahoma"/>
            <family val="2"/>
            <charset val="161"/>
          </rPr>
          <t xml:space="preserve"> </t>
        </r>
        <r>
          <rPr>
            <sz val="9"/>
            <color indexed="34"/>
            <rFont val="Tahoma"/>
            <family val="2"/>
            <charset val="161"/>
          </rPr>
          <t xml:space="preserve">
 </t>
        </r>
        <r>
          <rPr>
            <sz val="9"/>
            <color indexed="10"/>
            <rFont val="Tahoma"/>
            <family val="2"/>
            <charset val="161"/>
          </rPr>
          <t xml:space="preserve">
Μ =</t>
        </r>
        <r>
          <rPr>
            <b/>
            <sz val="9"/>
            <color indexed="10"/>
            <rFont val="Tahoma"/>
            <family val="2"/>
            <charset val="161"/>
          </rPr>
          <t xml:space="preserve"> μ</t>
        </r>
        <r>
          <rPr>
            <sz val="9"/>
            <color indexed="10"/>
            <rFont val="Tahoma"/>
            <family val="2"/>
            <charset val="161"/>
          </rPr>
          <t xml:space="preserve"> ή</t>
        </r>
        <r>
          <rPr>
            <b/>
            <sz val="9"/>
            <color indexed="10"/>
            <rFont val="Tahoma"/>
            <family val="2"/>
            <charset val="161"/>
          </rPr>
          <t xml:space="preserve"> Μ</t>
        </r>
        <r>
          <rPr>
            <sz val="9"/>
            <color indexed="10"/>
            <rFont val="Tahoma"/>
            <family val="2"/>
            <charset val="161"/>
          </rPr>
          <t xml:space="preserve">
Γράφουμε </t>
        </r>
        <r>
          <rPr>
            <b/>
            <sz val="9"/>
            <color indexed="10"/>
            <rFont val="Tahoma"/>
            <family val="2"/>
            <charset val="161"/>
          </rPr>
          <t>μ</t>
        </r>
        <r>
          <rPr>
            <sz val="9"/>
            <color indexed="10"/>
            <rFont val="Tahoma"/>
            <family val="2"/>
            <charset val="161"/>
          </rPr>
          <t xml:space="preserve"> ή</t>
        </r>
        <r>
          <rPr>
            <b/>
            <sz val="9"/>
            <color indexed="10"/>
            <rFont val="Tahoma"/>
            <family val="2"/>
            <charset val="161"/>
          </rPr>
          <t xml:space="preserve"> Μ</t>
        </r>
        <r>
          <rPr>
            <sz val="9"/>
            <color indexed="10"/>
            <rFont val="Tahoma"/>
            <family val="2"/>
            <charset val="161"/>
          </rPr>
          <t xml:space="preserve">, καινό και αμέσως τον αύξον αριθμό του αντικειμένου. 
Πχ.      </t>
        </r>
        <r>
          <rPr>
            <b/>
            <sz val="9"/>
            <color indexed="10"/>
            <rFont val="Tahoma"/>
            <family val="2"/>
            <charset val="161"/>
          </rPr>
          <t xml:space="preserve"> μ 101</t>
        </r>
        <r>
          <rPr>
            <sz val="9"/>
            <color indexed="10"/>
            <rFont val="Tahoma"/>
            <family val="2"/>
            <charset val="161"/>
          </rPr>
          <t xml:space="preserve">
Όταν ο αύξον αριθμός του αντικειμένου είναι &lt; 100
 βάζουμε τόσα μηδέν μπροστά, όσα θα χρειαστεί
για να έχουμε ένα σύνολο 3 ψηφίων.
Πχ. Τα Μ1,  Μ57  και Μ101
 στο πρόγραμμα τα γράφουμε:
Μ1 =     </t>
        </r>
        <r>
          <rPr>
            <b/>
            <sz val="9"/>
            <color indexed="10"/>
            <rFont val="Tahoma"/>
            <family val="2"/>
            <charset val="161"/>
          </rPr>
          <t>μ 001</t>
        </r>
        <r>
          <rPr>
            <sz val="9"/>
            <color indexed="10"/>
            <rFont val="Tahoma"/>
            <family val="2"/>
            <charset val="161"/>
          </rPr>
          <t xml:space="preserve">
Μ57 =   </t>
        </r>
        <r>
          <rPr>
            <b/>
            <sz val="9"/>
            <color indexed="10"/>
            <rFont val="Tahoma"/>
            <family val="2"/>
            <charset val="161"/>
          </rPr>
          <t>μ 057</t>
        </r>
        <r>
          <rPr>
            <sz val="9"/>
            <color indexed="10"/>
            <rFont val="Tahoma"/>
            <family val="2"/>
            <charset val="161"/>
          </rPr>
          <t xml:space="preserve">
Μ101 = </t>
        </r>
        <r>
          <rPr>
            <b/>
            <sz val="9"/>
            <color indexed="10"/>
            <rFont val="Tahoma"/>
            <family val="2"/>
            <charset val="161"/>
          </rPr>
          <t>μ 101</t>
        </r>
        <r>
          <rPr>
            <sz val="9"/>
            <color indexed="34"/>
            <rFont val="Tahoma"/>
            <family val="2"/>
            <charset val="161"/>
          </rPr>
          <t xml:space="preserve">
</t>
        </r>
      </text>
    </comment>
    <comment ref="EI23" authorId="0">
      <text>
        <r>
          <rPr>
            <sz val="9"/>
            <color indexed="81"/>
            <rFont val="Tahoma"/>
            <family val="2"/>
            <charset val="161"/>
          </rPr>
          <t xml:space="preserve">
Με τον κωδικό </t>
        </r>
        <r>
          <rPr>
            <b/>
            <sz val="9"/>
            <color indexed="81"/>
            <rFont val="Tahoma"/>
            <family val="2"/>
            <charset val="161"/>
          </rPr>
          <t>ααα 0  ααα 1 ααα 2</t>
        </r>
        <r>
          <rPr>
            <sz val="9"/>
            <color indexed="81"/>
            <rFont val="Tahoma"/>
            <family val="2"/>
            <charset val="161"/>
          </rPr>
          <t xml:space="preserve">  έως και το </t>
        </r>
        <r>
          <rPr>
            <b/>
            <sz val="9"/>
            <color indexed="81"/>
            <rFont val="Tahoma"/>
            <family val="2"/>
            <charset val="161"/>
          </rPr>
          <t>ααα 9</t>
        </r>
        <r>
          <rPr>
            <sz val="9"/>
            <color indexed="81"/>
            <rFont val="Tahoma"/>
            <family val="2"/>
            <charset val="161"/>
          </rPr>
          <t xml:space="preserve">  μπορούμε να καταχωρίσουμε τις συντεταγμένες της Σελήνης  των πλανητών σε διάφορες ημερομηνίες που επιλέγουμε. Επίσης μπορούμε να καταχωρίσουμε ότι άλλο θέλουμε.  Ποιο συγκεκριμένα  ααα κενό, είναι ο κωδικός και μετά το κενό, ο αριθμός. Αυτός  είναι ο αύξον αριθμός της καταχώρισης. Για λόγους ευκολίας βρίσκεται στην κορυφή του καταλόγου. 
</t>
        </r>
      </text>
    </comment>
    <comment ref="AP25" authorId="0">
      <text>
        <r>
          <rPr>
            <b/>
            <sz val="9"/>
            <color indexed="81"/>
            <rFont val="Tahoma"/>
            <family val="2"/>
            <charset val="161"/>
          </rPr>
          <t xml:space="preserve"> </t>
        </r>
        <r>
          <rPr>
            <sz val="9"/>
            <color indexed="34"/>
            <rFont val="Tahoma"/>
            <family val="2"/>
            <charset val="161"/>
          </rPr>
          <t xml:space="preserve">
</t>
        </r>
        <r>
          <rPr>
            <sz val="9"/>
            <color indexed="10"/>
            <rFont val="Tahoma"/>
            <family val="2"/>
            <charset val="161"/>
          </rPr>
          <t xml:space="preserve"> Με τον κωδικούς </t>
        </r>
        <r>
          <rPr>
            <b/>
            <sz val="9"/>
            <color indexed="10"/>
            <rFont val="Tahoma"/>
            <family val="2"/>
            <charset val="161"/>
          </rPr>
          <t>ααα 0  ααα 1 ααα 2</t>
        </r>
        <r>
          <rPr>
            <sz val="9"/>
            <color indexed="10"/>
            <rFont val="Tahoma"/>
            <family val="2"/>
            <charset val="161"/>
          </rPr>
          <t xml:space="preserve">  έως και το </t>
        </r>
        <r>
          <rPr>
            <b/>
            <sz val="9"/>
            <color indexed="10"/>
            <rFont val="Tahoma"/>
            <family val="2"/>
            <charset val="161"/>
          </rPr>
          <t>ααα 9</t>
        </r>
        <r>
          <rPr>
            <sz val="9"/>
            <color indexed="10"/>
            <rFont val="Tahoma"/>
            <family val="2"/>
            <charset val="161"/>
          </rPr>
          <t xml:space="preserve">  μπορούμε να καταχωρίσουμε τις συντεταγμένες της Σελήνης  των πλανητών σε διάφορες ημερομηνίες που επιλέγουμε. Επίσης μπορούμε να καταχωρίσουμε ότι άλλο θέλουμε.  Ποιο συγκεκριμένα  </t>
        </r>
        <r>
          <rPr>
            <b/>
            <sz val="9"/>
            <color indexed="10"/>
            <rFont val="Tahoma"/>
            <family val="2"/>
            <charset val="161"/>
          </rPr>
          <t>ααα</t>
        </r>
        <r>
          <rPr>
            <sz val="9"/>
            <color indexed="10"/>
            <rFont val="Tahoma"/>
            <family val="2"/>
            <charset val="161"/>
          </rPr>
          <t xml:space="preserve"> κενό, είναι ο κωδικός και μετά το κενό, ο αριθμός. Αυτός  είναι ο αύξον αριθμός της καταχώρισης. Για λόγους ευκολίας βρίσκεται στην κορυφή του καταλόγου.</t>
        </r>
        <r>
          <rPr>
            <sz val="9"/>
            <color indexed="34"/>
            <rFont val="Tahoma"/>
            <family val="2"/>
            <charset val="161"/>
          </rPr>
          <t xml:space="preserve">
</t>
        </r>
      </text>
    </comment>
    <comment ref="EI45" authorId="0">
      <text>
        <r>
          <rPr>
            <b/>
            <sz val="9"/>
            <color indexed="81"/>
            <rFont val="Tahoma"/>
            <family val="2"/>
            <charset val="161"/>
          </rPr>
          <t xml:space="preserve"> </t>
        </r>
        <r>
          <rPr>
            <sz val="9"/>
            <color indexed="81"/>
            <rFont val="Tahoma"/>
            <family val="2"/>
            <charset val="161"/>
          </rPr>
          <t xml:space="preserve">
</t>
        </r>
        <r>
          <rPr>
            <b/>
            <sz val="11"/>
            <color indexed="81"/>
            <rFont val="Times New Roman"/>
            <family val="1"/>
            <charset val="161"/>
          </rPr>
          <t>α</t>
        </r>
        <r>
          <rPr>
            <sz val="11"/>
            <color indexed="81"/>
            <rFont val="Times New Roman"/>
            <family val="1"/>
            <charset val="161"/>
          </rPr>
          <t xml:space="preserve"> alfa alf alpha alp
</t>
        </r>
        <r>
          <rPr>
            <b/>
            <sz val="11"/>
            <color indexed="81"/>
            <rFont val="Times New Roman"/>
            <family val="1"/>
            <charset val="161"/>
          </rPr>
          <t>β</t>
        </r>
        <r>
          <rPr>
            <sz val="11"/>
            <color indexed="81"/>
            <rFont val="Times New Roman"/>
            <family val="1"/>
            <charset val="161"/>
          </rPr>
          <t xml:space="preserve"> beta bet
</t>
        </r>
        <r>
          <rPr>
            <b/>
            <sz val="11"/>
            <color indexed="81"/>
            <rFont val="Times New Roman"/>
            <family val="1"/>
            <charset val="161"/>
          </rPr>
          <t>γ</t>
        </r>
        <r>
          <rPr>
            <sz val="11"/>
            <color indexed="81"/>
            <rFont val="Times New Roman"/>
            <family val="1"/>
            <charset val="161"/>
          </rPr>
          <t xml:space="preserve"> gama gam
</t>
        </r>
        <r>
          <rPr>
            <b/>
            <sz val="11"/>
            <color indexed="81"/>
            <rFont val="Times New Roman"/>
            <family val="1"/>
            <charset val="161"/>
          </rPr>
          <t>δ</t>
        </r>
        <r>
          <rPr>
            <sz val="11"/>
            <color indexed="81"/>
            <rFont val="Times New Roman"/>
            <family val="1"/>
            <charset val="161"/>
          </rPr>
          <t xml:space="preserve"> delta del
</t>
        </r>
        <r>
          <rPr>
            <b/>
            <sz val="11"/>
            <color indexed="81"/>
            <rFont val="Times New Roman"/>
            <family val="1"/>
            <charset val="161"/>
          </rPr>
          <t>ε</t>
        </r>
        <r>
          <rPr>
            <sz val="11"/>
            <color indexed="81"/>
            <rFont val="Times New Roman"/>
            <family val="1"/>
            <charset val="161"/>
          </rPr>
          <t xml:space="preserve"> epsilon eps
</t>
        </r>
        <r>
          <rPr>
            <b/>
            <sz val="11"/>
            <color indexed="81"/>
            <rFont val="Times New Roman"/>
            <family val="1"/>
            <charset val="161"/>
          </rPr>
          <t>ζ</t>
        </r>
        <r>
          <rPr>
            <sz val="11"/>
            <color indexed="81"/>
            <rFont val="Times New Roman"/>
            <family val="1"/>
            <charset val="161"/>
          </rPr>
          <t xml:space="preserve"> zet zeta
</t>
        </r>
        <r>
          <rPr>
            <b/>
            <sz val="11"/>
            <color indexed="81"/>
            <rFont val="Times New Roman"/>
            <family val="1"/>
            <charset val="161"/>
          </rPr>
          <t>η</t>
        </r>
        <r>
          <rPr>
            <sz val="11"/>
            <color indexed="81"/>
            <rFont val="Times New Roman"/>
            <family val="1"/>
            <charset val="161"/>
          </rPr>
          <t xml:space="preserve"> eta ita
</t>
        </r>
        <r>
          <rPr>
            <b/>
            <sz val="11"/>
            <color indexed="81"/>
            <rFont val="Times New Roman"/>
            <family val="1"/>
            <charset val="161"/>
          </rPr>
          <t>θ</t>
        </r>
        <r>
          <rPr>
            <sz val="11"/>
            <color indexed="81"/>
            <rFont val="Times New Roman"/>
            <family val="1"/>
            <charset val="161"/>
          </rPr>
          <t xml:space="preserve"> teta tet the theta</t>
        </r>
        <r>
          <rPr>
            <sz val="9"/>
            <color indexed="81"/>
            <rFont val="Tahoma"/>
            <family val="2"/>
            <charset val="161"/>
          </rPr>
          <t xml:space="preserve">
</t>
        </r>
      </text>
    </comment>
    <comment ref="EI46" authorId="0">
      <text>
        <r>
          <rPr>
            <sz val="9"/>
            <color indexed="81"/>
            <rFont val="Times New Roman"/>
            <family val="1"/>
            <charset val="161"/>
          </rPr>
          <t xml:space="preserve">
</t>
        </r>
        <r>
          <rPr>
            <b/>
            <sz val="11"/>
            <color indexed="81"/>
            <rFont val="Times New Roman"/>
            <family val="1"/>
            <charset val="161"/>
          </rPr>
          <t>ι</t>
        </r>
        <r>
          <rPr>
            <sz val="11"/>
            <color indexed="81"/>
            <rFont val="Times New Roman"/>
            <family val="1"/>
            <charset val="161"/>
          </rPr>
          <t xml:space="preserve">  iota  iot
</t>
        </r>
        <r>
          <rPr>
            <b/>
            <sz val="11"/>
            <color indexed="81"/>
            <rFont val="Times New Roman"/>
            <family val="1"/>
            <charset val="161"/>
          </rPr>
          <t>κ</t>
        </r>
        <r>
          <rPr>
            <sz val="11"/>
            <color indexed="81"/>
            <rFont val="Times New Roman"/>
            <family val="1"/>
            <charset val="161"/>
          </rPr>
          <t xml:space="preserve"> kappa kapa  kap
</t>
        </r>
        <r>
          <rPr>
            <b/>
            <sz val="11"/>
            <color indexed="81"/>
            <rFont val="Times New Roman"/>
            <family val="1"/>
            <charset val="161"/>
          </rPr>
          <t>λ</t>
        </r>
        <r>
          <rPr>
            <sz val="11"/>
            <color indexed="81"/>
            <rFont val="Times New Roman"/>
            <family val="1"/>
            <charset val="161"/>
          </rPr>
          <t xml:space="preserve"> lamda lam
</t>
        </r>
        <r>
          <rPr>
            <b/>
            <sz val="11"/>
            <color indexed="81"/>
            <rFont val="Times New Roman"/>
            <family val="1"/>
            <charset val="161"/>
          </rPr>
          <t>μ</t>
        </r>
        <r>
          <rPr>
            <sz val="11"/>
            <color indexed="81"/>
            <rFont val="Times New Roman"/>
            <family val="1"/>
            <charset val="161"/>
          </rPr>
          <t xml:space="preserve">  mi  me  mu
</t>
        </r>
        <r>
          <rPr>
            <b/>
            <sz val="11"/>
            <color indexed="81"/>
            <rFont val="Times New Roman"/>
            <family val="1"/>
            <charset val="161"/>
          </rPr>
          <t>ν</t>
        </r>
        <r>
          <rPr>
            <sz val="11"/>
            <color indexed="81"/>
            <rFont val="Times New Roman"/>
            <family val="1"/>
            <charset val="161"/>
          </rPr>
          <t xml:space="preserve">  ni  ne  nu
</t>
        </r>
        <r>
          <rPr>
            <b/>
            <sz val="11"/>
            <color indexed="81"/>
            <rFont val="Times New Roman"/>
            <family val="1"/>
            <charset val="161"/>
          </rPr>
          <t>ξ</t>
        </r>
        <r>
          <rPr>
            <sz val="11"/>
            <color indexed="81"/>
            <rFont val="Times New Roman"/>
            <family val="1"/>
            <charset val="161"/>
          </rPr>
          <t xml:space="preserve">  ksi
</t>
        </r>
        <r>
          <rPr>
            <b/>
            <sz val="11"/>
            <color indexed="81"/>
            <rFont val="Times New Roman"/>
            <family val="1"/>
            <charset val="161"/>
          </rPr>
          <t>ο</t>
        </r>
        <r>
          <rPr>
            <sz val="11"/>
            <color indexed="81"/>
            <rFont val="Times New Roman"/>
            <family val="1"/>
            <charset val="161"/>
          </rPr>
          <t xml:space="preserve">  omicron omikron omi
</t>
        </r>
        <r>
          <rPr>
            <b/>
            <sz val="11"/>
            <color indexed="81"/>
            <rFont val="Times New Roman"/>
            <family val="1"/>
            <charset val="161"/>
          </rPr>
          <t>π</t>
        </r>
        <r>
          <rPr>
            <sz val="11"/>
            <color indexed="81"/>
            <rFont val="Times New Roman"/>
            <family val="1"/>
            <charset val="161"/>
          </rPr>
          <t xml:space="preserve">  pi</t>
        </r>
        <r>
          <rPr>
            <sz val="9"/>
            <color indexed="81"/>
            <rFont val="Times New Roman"/>
            <family val="1"/>
            <charset val="161"/>
          </rPr>
          <t xml:space="preserve">
</t>
        </r>
      </text>
    </comment>
    <comment ref="EI47" authorId="0">
      <text>
        <r>
          <rPr>
            <sz val="9"/>
            <color indexed="81"/>
            <rFont val="Tahoma"/>
            <family val="2"/>
            <charset val="161"/>
          </rPr>
          <t xml:space="preserve">
</t>
        </r>
        <r>
          <rPr>
            <b/>
            <sz val="9"/>
            <color indexed="81"/>
            <rFont val="Tahoma"/>
            <family val="2"/>
            <charset val="161"/>
          </rPr>
          <t xml:space="preserve"> </t>
        </r>
        <r>
          <rPr>
            <sz val="9"/>
            <color indexed="81"/>
            <rFont val="Tahoma"/>
            <family val="2"/>
            <charset val="161"/>
          </rPr>
          <t xml:space="preserve">
</t>
        </r>
        <r>
          <rPr>
            <b/>
            <sz val="11"/>
            <color indexed="81"/>
            <rFont val="Times New Roman"/>
            <family val="1"/>
            <charset val="161"/>
          </rPr>
          <t>ρ</t>
        </r>
        <r>
          <rPr>
            <sz val="11"/>
            <color indexed="81"/>
            <rFont val="Times New Roman"/>
            <family val="1"/>
            <charset val="161"/>
          </rPr>
          <t xml:space="preserve">  ro
</t>
        </r>
        <r>
          <rPr>
            <b/>
            <sz val="11"/>
            <color indexed="81"/>
            <rFont val="Times New Roman"/>
            <family val="1"/>
            <charset val="161"/>
          </rPr>
          <t>σ</t>
        </r>
        <r>
          <rPr>
            <sz val="11"/>
            <color indexed="81"/>
            <rFont val="Times New Roman"/>
            <family val="1"/>
            <charset val="161"/>
          </rPr>
          <t xml:space="preserve"> sigma  sig
</t>
        </r>
        <r>
          <rPr>
            <b/>
            <sz val="11"/>
            <color indexed="81"/>
            <rFont val="Times New Roman"/>
            <family val="1"/>
            <charset val="161"/>
          </rPr>
          <t>τ</t>
        </r>
        <r>
          <rPr>
            <sz val="11"/>
            <color indexed="81"/>
            <rFont val="Times New Roman"/>
            <family val="1"/>
            <charset val="161"/>
          </rPr>
          <t xml:space="preserve">  tau
</t>
        </r>
        <r>
          <rPr>
            <b/>
            <sz val="11"/>
            <color indexed="81"/>
            <rFont val="Times New Roman"/>
            <family val="1"/>
            <charset val="161"/>
          </rPr>
          <t>υ</t>
        </r>
        <r>
          <rPr>
            <sz val="11"/>
            <color indexed="81"/>
            <rFont val="Times New Roman"/>
            <family val="1"/>
            <charset val="161"/>
          </rPr>
          <t xml:space="preserve">  hypsilon  hyps upsilon  ups
</t>
        </r>
        <r>
          <rPr>
            <b/>
            <sz val="11"/>
            <color indexed="81"/>
            <rFont val="Times New Roman"/>
            <family val="1"/>
            <charset val="161"/>
          </rPr>
          <t>φ</t>
        </r>
        <r>
          <rPr>
            <sz val="11"/>
            <color indexed="81"/>
            <rFont val="Times New Roman"/>
            <family val="1"/>
            <charset val="161"/>
          </rPr>
          <t xml:space="preserve">  fi  phi
</t>
        </r>
        <r>
          <rPr>
            <b/>
            <sz val="11"/>
            <color indexed="81"/>
            <rFont val="Times New Roman"/>
            <family val="1"/>
            <charset val="161"/>
          </rPr>
          <t>χ</t>
        </r>
        <r>
          <rPr>
            <sz val="11"/>
            <color indexed="81"/>
            <rFont val="Times New Roman"/>
            <family val="1"/>
            <charset val="161"/>
          </rPr>
          <t xml:space="preserve">  hi  he chi
</t>
        </r>
        <r>
          <rPr>
            <b/>
            <sz val="11"/>
            <color indexed="81"/>
            <rFont val="Times New Roman"/>
            <family val="1"/>
            <charset val="161"/>
          </rPr>
          <t>ψ</t>
        </r>
        <r>
          <rPr>
            <sz val="11"/>
            <color indexed="81"/>
            <rFont val="Times New Roman"/>
            <family val="1"/>
            <charset val="161"/>
          </rPr>
          <t xml:space="preserve">  psi  
</t>
        </r>
        <r>
          <rPr>
            <b/>
            <sz val="11"/>
            <color indexed="81"/>
            <rFont val="Times New Roman"/>
            <family val="1"/>
            <charset val="161"/>
          </rPr>
          <t>ω</t>
        </r>
        <r>
          <rPr>
            <sz val="11"/>
            <color indexed="81"/>
            <rFont val="Times New Roman"/>
            <family val="1"/>
            <charset val="161"/>
          </rPr>
          <t xml:space="preserve">  omega  ome</t>
        </r>
        <r>
          <rPr>
            <sz val="9"/>
            <color indexed="81"/>
            <rFont val="Times New Roman"/>
            <family val="1"/>
            <charset val="161"/>
          </rPr>
          <t xml:space="preserve">
</t>
        </r>
      </text>
    </comment>
    <comment ref="EI49" authorId="0">
      <text>
        <r>
          <rPr>
            <sz val="9"/>
            <color indexed="81"/>
            <rFont val="Tahoma"/>
            <family val="2"/>
            <charset val="161"/>
          </rPr>
          <t xml:space="preserve">
Με τον κωδικό </t>
        </r>
        <r>
          <rPr>
            <b/>
            <sz val="9"/>
            <color indexed="81"/>
            <rFont val="Tahoma"/>
            <family val="2"/>
            <charset val="161"/>
          </rPr>
          <t>ααα 0  ααα 1 ααα 2</t>
        </r>
        <r>
          <rPr>
            <sz val="9"/>
            <color indexed="81"/>
            <rFont val="Tahoma"/>
            <family val="2"/>
            <charset val="161"/>
          </rPr>
          <t xml:space="preserve">  έως και το </t>
        </r>
        <r>
          <rPr>
            <b/>
            <sz val="9"/>
            <color indexed="81"/>
            <rFont val="Tahoma"/>
            <family val="2"/>
            <charset val="161"/>
          </rPr>
          <t>ααα 9</t>
        </r>
        <r>
          <rPr>
            <sz val="9"/>
            <color indexed="81"/>
            <rFont val="Tahoma"/>
            <family val="2"/>
            <charset val="161"/>
          </rPr>
          <t xml:space="preserve">  μπορούμε να καταχωρίσουμε τις συντεταγμένες της Σελήνης  των πλανητών σε διάφορες ημερομηνίες που επιλέγουμε. Επίσης μπορούμε να καταχωρίσουμε ότι άλλο θέλουμε.  Ποιο συγκεκριμένα  ααα κενό, είναι ο κωδικός και μετά το κενό, ο αριθμός. Αυτός  είναι ο αύξον αριθμός της καταχώρισης. Για λόγους ευκολίας βρίσκεται στην κορυφή του καταλόγου. 
</t>
        </r>
      </text>
    </comment>
    <comment ref="AP62" authorId="0">
      <text>
        <r>
          <rPr>
            <b/>
            <sz val="9"/>
            <color indexed="81"/>
            <rFont val="Tahoma"/>
            <family val="2"/>
            <charset val="161"/>
          </rPr>
          <t xml:space="preserve"> </t>
        </r>
        <r>
          <rPr>
            <sz val="9"/>
            <color indexed="81"/>
            <rFont val="Tahoma"/>
            <family val="2"/>
            <charset val="161"/>
          </rPr>
          <t xml:space="preserve">
 </t>
        </r>
        <r>
          <rPr>
            <b/>
            <sz val="9"/>
            <color indexed="81"/>
            <rFont val="Tahoma"/>
            <family val="2"/>
            <charset val="161"/>
          </rPr>
          <t xml:space="preserve">NGC = νγκ </t>
        </r>
        <r>
          <rPr>
            <sz val="9"/>
            <color indexed="81"/>
            <rFont val="Tahoma"/>
            <family val="2"/>
            <charset val="161"/>
          </rPr>
          <t>ή</t>
        </r>
        <r>
          <rPr>
            <b/>
            <sz val="9"/>
            <color indexed="81"/>
            <rFont val="Tahoma"/>
            <family val="2"/>
            <charset val="161"/>
          </rPr>
          <t xml:space="preserve"> ΝΓΚ</t>
        </r>
        <r>
          <rPr>
            <sz val="9"/>
            <color indexed="81"/>
            <rFont val="Tahoma"/>
            <family val="2"/>
            <charset val="161"/>
          </rPr>
          <t xml:space="preserve">
Γράφουμε </t>
        </r>
        <r>
          <rPr>
            <b/>
            <sz val="9"/>
            <color indexed="81"/>
            <rFont val="Tahoma"/>
            <family val="2"/>
            <charset val="161"/>
          </rPr>
          <t>νγκ</t>
        </r>
        <r>
          <rPr>
            <sz val="9"/>
            <color indexed="81"/>
            <rFont val="Tahoma"/>
            <family val="2"/>
            <charset val="161"/>
          </rPr>
          <t xml:space="preserve"> καινό και αμέσως τον αύξον αριθμό του αντικειμένου. 
Πχ.   </t>
        </r>
        <r>
          <rPr>
            <b/>
            <sz val="9"/>
            <color indexed="81"/>
            <rFont val="Tahoma"/>
            <family val="2"/>
            <charset val="161"/>
          </rPr>
          <t xml:space="preserve"> νγκ 1964</t>
        </r>
        <r>
          <rPr>
            <sz val="9"/>
            <color indexed="81"/>
            <rFont val="Tahoma"/>
            <family val="2"/>
            <charset val="161"/>
          </rPr>
          <t xml:space="preserve">
 Όταν ο αύξον αριθμός του αντικειμένου είναι &lt; 1000
 βάζουμε τόσα μηδέν μπροστά, όσα θα χρειαστεί,
για να έχουμε ένα σύνολο 4 ψηφίων.
Πχ. Τα NGC40, NGC253 NGC1964
 στο πρόγραμμα τα γράφουμε:
NGC40 =      </t>
        </r>
        <r>
          <rPr>
            <b/>
            <sz val="9"/>
            <color indexed="81"/>
            <rFont val="Tahoma"/>
            <family val="2"/>
            <charset val="161"/>
          </rPr>
          <t>νγκ 0040</t>
        </r>
        <r>
          <rPr>
            <sz val="9"/>
            <color indexed="81"/>
            <rFont val="Tahoma"/>
            <family val="2"/>
            <charset val="161"/>
          </rPr>
          <t xml:space="preserve">  
 NGC253 =   </t>
        </r>
        <r>
          <rPr>
            <b/>
            <sz val="9"/>
            <color indexed="81"/>
            <rFont val="Tahoma"/>
            <family val="2"/>
            <charset val="161"/>
          </rPr>
          <t>νγκ 0253</t>
        </r>
        <r>
          <rPr>
            <sz val="9"/>
            <color indexed="81"/>
            <rFont val="Tahoma"/>
            <family val="2"/>
            <charset val="161"/>
          </rPr>
          <t xml:space="preserve">
NGC1964 =  </t>
        </r>
        <r>
          <rPr>
            <b/>
            <sz val="9"/>
            <color indexed="81"/>
            <rFont val="Tahoma"/>
            <family val="2"/>
            <charset val="161"/>
          </rPr>
          <t>νγκ 1964</t>
        </r>
        <r>
          <rPr>
            <sz val="9"/>
            <color indexed="81"/>
            <rFont val="Tahoma"/>
            <family val="2"/>
            <charset val="161"/>
          </rPr>
          <t xml:space="preserve">
</t>
        </r>
      </text>
    </comment>
    <comment ref="AP63" authorId="0">
      <text>
        <r>
          <rPr>
            <sz val="9"/>
            <color indexed="81"/>
            <rFont val="Tahoma"/>
            <family val="2"/>
            <charset val="161"/>
          </rPr>
          <t xml:space="preserve">
</t>
        </r>
        <r>
          <rPr>
            <b/>
            <sz val="9"/>
            <color indexed="13"/>
            <rFont val="Tahoma"/>
            <family val="2"/>
            <charset val="161"/>
          </rPr>
          <t>IC = εκ</t>
        </r>
        <r>
          <rPr>
            <sz val="9"/>
            <color indexed="13"/>
            <rFont val="Tahoma"/>
            <family val="2"/>
            <charset val="161"/>
          </rPr>
          <t xml:space="preserve"> ή</t>
        </r>
        <r>
          <rPr>
            <b/>
            <sz val="9"/>
            <color indexed="13"/>
            <rFont val="Tahoma"/>
            <family val="2"/>
            <charset val="161"/>
          </rPr>
          <t xml:space="preserve"> ΕΚ</t>
        </r>
        <r>
          <rPr>
            <sz val="9"/>
            <color indexed="13"/>
            <rFont val="Tahoma"/>
            <family val="2"/>
            <charset val="161"/>
          </rPr>
          <t xml:space="preserve">
Γράφουμε </t>
        </r>
        <r>
          <rPr>
            <b/>
            <sz val="9"/>
            <color indexed="13"/>
            <rFont val="Tahoma"/>
            <family val="2"/>
            <charset val="161"/>
          </rPr>
          <t>εκ</t>
        </r>
        <r>
          <rPr>
            <sz val="9"/>
            <color indexed="13"/>
            <rFont val="Tahoma"/>
            <family val="2"/>
            <charset val="161"/>
          </rPr>
          <t xml:space="preserve"> ή</t>
        </r>
        <r>
          <rPr>
            <b/>
            <sz val="9"/>
            <color indexed="13"/>
            <rFont val="Tahoma"/>
            <family val="2"/>
            <charset val="161"/>
          </rPr>
          <t xml:space="preserve"> ΕΚ</t>
        </r>
        <r>
          <rPr>
            <sz val="9"/>
            <color indexed="13"/>
            <rFont val="Tahoma"/>
            <family val="2"/>
            <charset val="161"/>
          </rPr>
          <t xml:space="preserve">, καινό και αμέσως τον αύξον αριθμό του αντικειμένου.
Πχ.   </t>
        </r>
        <r>
          <rPr>
            <b/>
            <sz val="9"/>
            <color indexed="13"/>
            <rFont val="Tahoma"/>
            <family val="2"/>
            <charset val="161"/>
          </rPr>
          <t>εκ 2003</t>
        </r>
        <r>
          <rPr>
            <sz val="9"/>
            <color indexed="13"/>
            <rFont val="Tahoma"/>
            <family val="2"/>
            <charset val="161"/>
          </rPr>
          <t xml:space="preserve">
Όταν ο αύξον αριθμός του αντικειμένου είναι &lt; 1000
 βάζουμε τόσα μηδέν μπροστά, όσα θα χρειαστεί
για να έχουμε ένα σύνολο 4 ψηφίων.
Βέβαια το IC418 είναι αυτό με τον μικρότερο
Αριθμό IC που έχω καταχωρίσει. 
Είναι ένα μικρό αλλά φωτεινότατο πλανητικό
στον Λογωό. 
Στο πρόγραμμα το δίνουμε   </t>
        </r>
        <r>
          <rPr>
            <b/>
            <sz val="9"/>
            <color indexed="13"/>
            <rFont val="Tahoma"/>
            <family val="2"/>
            <charset val="161"/>
          </rPr>
          <t>εκ 0418</t>
        </r>
        <r>
          <rPr>
            <sz val="9"/>
            <color indexed="81"/>
            <rFont val="Tahoma"/>
            <family val="2"/>
            <charset val="161"/>
          </rPr>
          <t xml:space="preserve">
</t>
        </r>
      </text>
    </comment>
    <comment ref="AP64" authorId="0">
      <text>
        <r>
          <rPr>
            <sz val="9"/>
            <color indexed="81"/>
            <rFont val="Tahoma"/>
            <family val="2"/>
            <charset val="161"/>
          </rPr>
          <t xml:space="preserve">
</t>
        </r>
        <r>
          <rPr>
            <b/>
            <sz val="9"/>
            <color indexed="81"/>
            <rFont val="Tahoma"/>
            <family val="2"/>
            <charset val="161"/>
          </rPr>
          <t xml:space="preserve">Μ = μ </t>
        </r>
        <r>
          <rPr>
            <sz val="9"/>
            <color indexed="81"/>
            <rFont val="Tahoma"/>
            <family val="2"/>
            <charset val="161"/>
          </rPr>
          <t>ή</t>
        </r>
        <r>
          <rPr>
            <b/>
            <sz val="9"/>
            <color indexed="81"/>
            <rFont val="Tahoma"/>
            <family val="2"/>
            <charset val="161"/>
          </rPr>
          <t xml:space="preserve"> Μ</t>
        </r>
        <r>
          <rPr>
            <sz val="9"/>
            <color indexed="81"/>
            <rFont val="Tahoma"/>
            <family val="2"/>
            <charset val="161"/>
          </rPr>
          <t xml:space="preserve">
Γράφουμε </t>
        </r>
        <r>
          <rPr>
            <b/>
            <sz val="9"/>
            <color indexed="81"/>
            <rFont val="Tahoma"/>
            <family val="2"/>
            <charset val="161"/>
          </rPr>
          <t>μ</t>
        </r>
        <r>
          <rPr>
            <sz val="9"/>
            <color indexed="81"/>
            <rFont val="Tahoma"/>
            <family val="2"/>
            <charset val="161"/>
          </rPr>
          <t xml:space="preserve"> ή</t>
        </r>
        <r>
          <rPr>
            <b/>
            <sz val="9"/>
            <color indexed="81"/>
            <rFont val="Tahoma"/>
            <family val="2"/>
            <charset val="161"/>
          </rPr>
          <t xml:space="preserve"> Μ</t>
        </r>
        <r>
          <rPr>
            <sz val="9"/>
            <color indexed="81"/>
            <rFont val="Tahoma"/>
            <family val="2"/>
            <charset val="161"/>
          </rPr>
          <t xml:space="preserve">, καινό και αμέσως τον αύξον αριθμό του αντικειμένου. 
Πχ.      </t>
        </r>
        <r>
          <rPr>
            <b/>
            <sz val="9"/>
            <color indexed="81"/>
            <rFont val="Tahoma"/>
            <family val="2"/>
            <charset val="161"/>
          </rPr>
          <t xml:space="preserve"> μ 101</t>
        </r>
        <r>
          <rPr>
            <sz val="9"/>
            <color indexed="81"/>
            <rFont val="Tahoma"/>
            <family val="2"/>
            <charset val="161"/>
          </rPr>
          <t xml:space="preserve">
Όταν ο αύξον αριθμός του αντικειμένου είναι &lt; 100
 βάζουμε τόσα μηδέν μπροστά, όσα θα χρειαστεί
για να έχουμε ένα σύνολο 3 ψηφίων.
Πχ. Τα Μ1,  Μ57  και Μ101
 στο πρόγραμμα τα γράφουμε:
Μ1 =     </t>
        </r>
        <r>
          <rPr>
            <b/>
            <sz val="9"/>
            <color indexed="81"/>
            <rFont val="Tahoma"/>
            <family val="2"/>
            <charset val="161"/>
          </rPr>
          <t>μ 001</t>
        </r>
        <r>
          <rPr>
            <sz val="9"/>
            <color indexed="81"/>
            <rFont val="Tahoma"/>
            <family val="2"/>
            <charset val="161"/>
          </rPr>
          <t xml:space="preserve">
Μ57 =   </t>
        </r>
        <r>
          <rPr>
            <b/>
            <sz val="9"/>
            <color indexed="81"/>
            <rFont val="Tahoma"/>
            <family val="2"/>
            <charset val="161"/>
          </rPr>
          <t>μ 057</t>
        </r>
        <r>
          <rPr>
            <sz val="9"/>
            <color indexed="81"/>
            <rFont val="Tahoma"/>
            <family val="2"/>
            <charset val="161"/>
          </rPr>
          <t xml:space="preserve">
Μ101 = </t>
        </r>
        <r>
          <rPr>
            <b/>
            <sz val="9"/>
            <color indexed="81"/>
            <rFont val="Tahoma"/>
            <family val="2"/>
            <charset val="161"/>
          </rPr>
          <t>μ 101</t>
        </r>
        <r>
          <rPr>
            <sz val="9"/>
            <color indexed="81"/>
            <rFont val="Tahoma"/>
            <family val="2"/>
            <charset val="161"/>
          </rPr>
          <t xml:space="preserve">
</t>
        </r>
      </text>
    </comment>
    <comment ref="AP66" authorId="0">
      <text>
        <r>
          <rPr>
            <b/>
            <sz val="8"/>
            <color indexed="81"/>
            <rFont val="Tahoma"/>
            <family val="2"/>
            <charset val="161"/>
          </rPr>
          <t>Giannis:</t>
        </r>
        <r>
          <rPr>
            <sz val="8"/>
            <color indexed="81"/>
            <rFont val="Tahoma"/>
            <family val="2"/>
            <charset val="161"/>
          </rPr>
          <t xml:space="preserve">
Με τον κωδικό ααα 0  ααα 1 ααα 2  έως και το ααα 9  μπορούμε να καταχωρίσουμε τις συντεταγμένες της Σελήνης και των πλανητών σε διάφορες ημερομηνίες που επιλέγουμε. Ποιο συγκεκριμένα  ααα κενό, είναι ο κωδικός και μετά το κενό, ο αριθμός. Αυτός  είναι ο αύξον αριθμός της καταχώρισης. Για λόγους ευκολίας βρίσκεται στην κορυφή του καταλόγου. 
Προσοχή!
Η νέα καταχώρηση που θα έχει μεγαλύτερο αριθμό πηγαίνει κάτω από την προηγούμενη καταχώριση. 
Οι καταχωρήσεις ξεκινούν από το 0 και αυξάνουν προς τα κάτω μέχρι το 9.
Επίσης μπορούμε να διαγράφουμε τις παλιές κι άχρηστες καταχωρίσεις.
</t>
        </r>
      </text>
    </comment>
    <comment ref="EI87" authorId="0">
      <text>
        <r>
          <rPr>
            <b/>
            <sz val="11"/>
            <color indexed="81"/>
            <rFont val="Times New Roman"/>
            <family val="1"/>
            <charset val="161"/>
          </rPr>
          <t>α</t>
        </r>
        <r>
          <rPr>
            <sz val="11"/>
            <color indexed="81"/>
            <rFont val="Times New Roman"/>
            <family val="1"/>
            <charset val="161"/>
          </rPr>
          <t xml:space="preserve"> alfa alf alpha alp
</t>
        </r>
        <r>
          <rPr>
            <b/>
            <sz val="11"/>
            <color indexed="81"/>
            <rFont val="Times New Roman"/>
            <family val="1"/>
            <charset val="161"/>
          </rPr>
          <t xml:space="preserve">β </t>
        </r>
        <r>
          <rPr>
            <sz val="11"/>
            <color indexed="81"/>
            <rFont val="Times New Roman"/>
            <family val="1"/>
            <charset val="161"/>
          </rPr>
          <t xml:space="preserve">beta bet
</t>
        </r>
        <r>
          <rPr>
            <b/>
            <sz val="11"/>
            <color indexed="81"/>
            <rFont val="Times New Roman"/>
            <family val="1"/>
            <charset val="161"/>
          </rPr>
          <t xml:space="preserve">γ </t>
        </r>
        <r>
          <rPr>
            <sz val="11"/>
            <color indexed="81"/>
            <rFont val="Times New Roman"/>
            <family val="1"/>
            <charset val="161"/>
          </rPr>
          <t>gama gam</t>
        </r>
        <r>
          <rPr>
            <b/>
            <sz val="11"/>
            <color indexed="81"/>
            <rFont val="Times New Roman"/>
            <family val="1"/>
            <charset val="161"/>
          </rPr>
          <t xml:space="preserve">
δ</t>
        </r>
        <r>
          <rPr>
            <sz val="11"/>
            <color indexed="81"/>
            <rFont val="Times New Roman"/>
            <family val="1"/>
            <charset val="161"/>
          </rPr>
          <t xml:space="preserve"> delta del
</t>
        </r>
        <r>
          <rPr>
            <b/>
            <sz val="11"/>
            <color indexed="81"/>
            <rFont val="Times New Roman"/>
            <family val="1"/>
            <charset val="161"/>
          </rPr>
          <t xml:space="preserve">ε </t>
        </r>
        <r>
          <rPr>
            <sz val="11"/>
            <color indexed="81"/>
            <rFont val="Times New Roman"/>
            <family val="1"/>
            <charset val="161"/>
          </rPr>
          <t xml:space="preserve">epsilon eps
</t>
        </r>
        <r>
          <rPr>
            <b/>
            <sz val="11"/>
            <color indexed="81"/>
            <rFont val="Times New Roman"/>
            <family val="1"/>
            <charset val="161"/>
          </rPr>
          <t>ζ</t>
        </r>
        <r>
          <rPr>
            <sz val="11"/>
            <color indexed="81"/>
            <rFont val="Times New Roman"/>
            <family val="1"/>
            <charset val="161"/>
          </rPr>
          <t xml:space="preserve"> zet zeta
</t>
        </r>
        <r>
          <rPr>
            <b/>
            <sz val="11"/>
            <color indexed="81"/>
            <rFont val="Times New Roman"/>
            <family val="1"/>
            <charset val="161"/>
          </rPr>
          <t>η</t>
        </r>
        <r>
          <rPr>
            <sz val="11"/>
            <color indexed="81"/>
            <rFont val="Times New Roman"/>
            <family val="1"/>
            <charset val="161"/>
          </rPr>
          <t xml:space="preserve"> eta ita
</t>
        </r>
        <r>
          <rPr>
            <b/>
            <sz val="11"/>
            <color indexed="81"/>
            <rFont val="Times New Roman"/>
            <family val="1"/>
            <charset val="161"/>
          </rPr>
          <t>θ</t>
        </r>
        <r>
          <rPr>
            <sz val="11"/>
            <color indexed="81"/>
            <rFont val="Times New Roman"/>
            <family val="1"/>
            <charset val="161"/>
          </rPr>
          <t xml:space="preserve"> teta tet the theta
</t>
        </r>
      </text>
    </comment>
    <comment ref="EI88" authorId="0">
      <text>
        <r>
          <rPr>
            <b/>
            <sz val="12"/>
            <color indexed="81"/>
            <rFont val="Times New Roman"/>
            <family val="1"/>
            <charset val="161"/>
          </rPr>
          <t>ι</t>
        </r>
        <r>
          <rPr>
            <sz val="12"/>
            <color indexed="81"/>
            <rFont val="Times New Roman"/>
            <family val="1"/>
            <charset val="161"/>
          </rPr>
          <t xml:space="preserve">  iota  iot
</t>
        </r>
        <r>
          <rPr>
            <b/>
            <sz val="12"/>
            <color indexed="81"/>
            <rFont val="Times New Roman"/>
            <family val="1"/>
            <charset val="161"/>
          </rPr>
          <t>κ</t>
        </r>
        <r>
          <rPr>
            <sz val="12"/>
            <color indexed="81"/>
            <rFont val="Times New Roman"/>
            <family val="1"/>
            <charset val="161"/>
          </rPr>
          <t xml:space="preserve"> kappa kapa  kap
</t>
        </r>
        <r>
          <rPr>
            <b/>
            <sz val="12"/>
            <color indexed="81"/>
            <rFont val="Times New Roman"/>
            <family val="1"/>
            <charset val="161"/>
          </rPr>
          <t>λ</t>
        </r>
        <r>
          <rPr>
            <sz val="12"/>
            <color indexed="81"/>
            <rFont val="Times New Roman"/>
            <family val="1"/>
            <charset val="161"/>
          </rPr>
          <t xml:space="preserve"> lamda lam
</t>
        </r>
        <r>
          <rPr>
            <b/>
            <sz val="12"/>
            <color indexed="81"/>
            <rFont val="Times New Roman"/>
            <family val="1"/>
            <charset val="161"/>
          </rPr>
          <t>μ</t>
        </r>
        <r>
          <rPr>
            <sz val="12"/>
            <color indexed="81"/>
            <rFont val="Times New Roman"/>
            <family val="1"/>
            <charset val="161"/>
          </rPr>
          <t xml:space="preserve">  mi  me  mu
</t>
        </r>
        <r>
          <rPr>
            <b/>
            <sz val="12"/>
            <color indexed="81"/>
            <rFont val="Times New Roman"/>
            <family val="1"/>
            <charset val="161"/>
          </rPr>
          <t>ν</t>
        </r>
        <r>
          <rPr>
            <sz val="12"/>
            <color indexed="81"/>
            <rFont val="Times New Roman"/>
            <family val="1"/>
            <charset val="161"/>
          </rPr>
          <t xml:space="preserve">  ni  ne  nu
</t>
        </r>
        <r>
          <rPr>
            <b/>
            <sz val="12"/>
            <color indexed="81"/>
            <rFont val="Times New Roman"/>
            <family val="1"/>
            <charset val="161"/>
          </rPr>
          <t>ξ</t>
        </r>
        <r>
          <rPr>
            <sz val="12"/>
            <color indexed="81"/>
            <rFont val="Times New Roman"/>
            <family val="1"/>
            <charset val="161"/>
          </rPr>
          <t xml:space="preserve">  ksi
</t>
        </r>
        <r>
          <rPr>
            <b/>
            <sz val="12"/>
            <color indexed="81"/>
            <rFont val="Times New Roman"/>
            <family val="1"/>
            <charset val="161"/>
          </rPr>
          <t>ο</t>
        </r>
        <r>
          <rPr>
            <sz val="12"/>
            <color indexed="81"/>
            <rFont val="Times New Roman"/>
            <family val="1"/>
            <charset val="161"/>
          </rPr>
          <t xml:space="preserve">  omicron omikron  omi
</t>
        </r>
        <r>
          <rPr>
            <b/>
            <sz val="12"/>
            <color indexed="81"/>
            <rFont val="Times New Roman"/>
            <family val="1"/>
            <charset val="161"/>
          </rPr>
          <t>π</t>
        </r>
        <r>
          <rPr>
            <sz val="12"/>
            <color indexed="81"/>
            <rFont val="Times New Roman"/>
            <family val="1"/>
            <charset val="161"/>
          </rPr>
          <t xml:space="preserve">  </t>
        </r>
        <r>
          <rPr>
            <sz val="11"/>
            <color indexed="81"/>
            <rFont val="Times New Roman"/>
            <family val="1"/>
            <charset val="161"/>
          </rPr>
          <t>pi</t>
        </r>
        <r>
          <rPr>
            <sz val="9"/>
            <color indexed="81"/>
            <rFont val="Tahoma"/>
            <family val="2"/>
            <charset val="161"/>
          </rPr>
          <t xml:space="preserve"> 
</t>
        </r>
      </text>
    </comment>
    <comment ref="EI89" authorId="0">
      <text>
        <r>
          <rPr>
            <b/>
            <sz val="11"/>
            <color indexed="81"/>
            <rFont val="Times New Roman"/>
            <family val="1"/>
            <charset val="161"/>
          </rPr>
          <t>ρ</t>
        </r>
        <r>
          <rPr>
            <sz val="11"/>
            <color indexed="81"/>
            <rFont val="Times New Roman"/>
            <family val="1"/>
            <charset val="161"/>
          </rPr>
          <t xml:space="preserve">  ro
</t>
        </r>
        <r>
          <rPr>
            <b/>
            <sz val="11"/>
            <color indexed="81"/>
            <rFont val="Times New Roman"/>
            <family val="1"/>
            <charset val="161"/>
          </rPr>
          <t>σ</t>
        </r>
        <r>
          <rPr>
            <sz val="11"/>
            <color indexed="81"/>
            <rFont val="Times New Roman"/>
            <family val="1"/>
            <charset val="161"/>
          </rPr>
          <t xml:space="preserve"> sigma  sig
</t>
        </r>
        <r>
          <rPr>
            <b/>
            <sz val="11"/>
            <color indexed="81"/>
            <rFont val="Times New Roman"/>
            <family val="1"/>
            <charset val="161"/>
          </rPr>
          <t>τ</t>
        </r>
        <r>
          <rPr>
            <sz val="11"/>
            <color indexed="81"/>
            <rFont val="Times New Roman"/>
            <family val="1"/>
            <charset val="161"/>
          </rPr>
          <t xml:space="preserve">  tau
</t>
        </r>
        <r>
          <rPr>
            <b/>
            <sz val="11"/>
            <color indexed="81"/>
            <rFont val="Times New Roman"/>
            <family val="1"/>
            <charset val="161"/>
          </rPr>
          <t>υ</t>
        </r>
        <r>
          <rPr>
            <sz val="11"/>
            <color indexed="81"/>
            <rFont val="Times New Roman"/>
            <family val="1"/>
            <charset val="161"/>
          </rPr>
          <t xml:space="preserve">  hypsilon  hyps upsilon  ups
</t>
        </r>
        <r>
          <rPr>
            <b/>
            <sz val="11"/>
            <color indexed="81"/>
            <rFont val="Times New Roman"/>
            <family val="1"/>
            <charset val="161"/>
          </rPr>
          <t>φ</t>
        </r>
        <r>
          <rPr>
            <sz val="11"/>
            <color indexed="81"/>
            <rFont val="Times New Roman"/>
            <family val="1"/>
            <charset val="161"/>
          </rPr>
          <t xml:space="preserve">  fi  phi
</t>
        </r>
        <r>
          <rPr>
            <b/>
            <sz val="11"/>
            <color indexed="81"/>
            <rFont val="Times New Roman"/>
            <family val="1"/>
            <charset val="161"/>
          </rPr>
          <t>χ</t>
        </r>
        <r>
          <rPr>
            <sz val="11"/>
            <color indexed="81"/>
            <rFont val="Times New Roman"/>
            <family val="1"/>
            <charset val="161"/>
          </rPr>
          <t xml:space="preserve">  hi  he chi
</t>
        </r>
        <r>
          <rPr>
            <b/>
            <sz val="11"/>
            <color indexed="81"/>
            <rFont val="Times New Roman"/>
            <family val="1"/>
            <charset val="161"/>
          </rPr>
          <t>ψ</t>
        </r>
        <r>
          <rPr>
            <sz val="11"/>
            <color indexed="81"/>
            <rFont val="Times New Roman"/>
            <family val="1"/>
            <charset val="161"/>
          </rPr>
          <t xml:space="preserve">  psi  
</t>
        </r>
        <r>
          <rPr>
            <b/>
            <sz val="11"/>
            <color indexed="81"/>
            <rFont val="Times New Roman"/>
            <family val="1"/>
            <charset val="161"/>
          </rPr>
          <t>ω</t>
        </r>
        <r>
          <rPr>
            <sz val="11"/>
            <color indexed="81"/>
            <rFont val="Times New Roman"/>
            <family val="1"/>
            <charset val="161"/>
          </rPr>
          <t xml:space="preserve">  omega  ome</t>
        </r>
        <r>
          <rPr>
            <sz val="9"/>
            <color indexed="81"/>
            <rFont val="Tahoma"/>
            <family val="2"/>
            <charset val="161"/>
          </rPr>
          <t xml:space="preserve">
</t>
        </r>
      </text>
    </comment>
    <comment ref="EI91" authorId="0">
      <text>
        <r>
          <rPr>
            <sz val="9"/>
            <color indexed="81"/>
            <rFont val="Tahoma"/>
            <family val="2"/>
            <charset val="161"/>
          </rPr>
          <t xml:space="preserve">
Με τον κωδικό </t>
        </r>
        <r>
          <rPr>
            <b/>
            <sz val="9"/>
            <color indexed="81"/>
            <rFont val="Tahoma"/>
            <family val="2"/>
            <charset val="161"/>
          </rPr>
          <t>ααα 0  ααα 1 ααα 2</t>
        </r>
        <r>
          <rPr>
            <sz val="9"/>
            <color indexed="81"/>
            <rFont val="Tahoma"/>
            <family val="2"/>
            <charset val="161"/>
          </rPr>
          <t xml:space="preserve">  έως και το </t>
        </r>
        <r>
          <rPr>
            <b/>
            <sz val="9"/>
            <color indexed="81"/>
            <rFont val="Tahoma"/>
            <family val="2"/>
            <charset val="161"/>
          </rPr>
          <t>ααα 9</t>
        </r>
        <r>
          <rPr>
            <sz val="9"/>
            <color indexed="81"/>
            <rFont val="Tahoma"/>
            <family val="2"/>
            <charset val="161"/>
          </rPr>
          <t xml:space="preserve">  μπορούμε να καταχωρίσουμε τις συντεταγμένες της Σελήνης  των πλανητών σε διάφορες ημερομηνίες που επιλέγουμε. Επίσης μπορούμε να καταχωρίσουμε ότι άλλο θέλουμε.  Ποιο συγκεκριμένα  ααα κενό, είναι ο κωδικός και μετά το κενό, ο αριθμός. Αυτός  είναι ο αύξον αριθμός της καταχώρισης. Για λόγους ευκολίας βρίσκεται στην κορυφή του καταλόγου. 
</t>
        </r>
      </text>
    </comment>
    <comment ref="AP102" authorId="0">
      <text>
        <r>
          <rPr>
            <b/>
            <sz val="9"/>
            <color indexed="81"/>
            <rFont val="Tahoma"/>
            <family val="2"/>
            <charset val="161"/>
          </rPr>
          <t xml:space="preserve"> </t>
        </r>
        <r>
          <rPr>
            <sz val="9"/>
            <color indexed="81"/>
            <rFont val="Tahoma"/>
            <family val="2"/>
            <charset val="161"/>
          </rPr>
          <t xml:space="preserve">
 </t>
        </r>
        <r>
          <rPr>
            <b/>
            <sz val="9"/>
            <color indexed="81"/>
            <rFont val="Tahoma"/>
            <family val="2"/>
            <charset val="161"/>
          </rPr>
          <t xml:space="preserve">NGC = νγκ </t>
        </r>
        <r>
          <rPr>
            <sz val="9"/>
            <color indexed="81"/>
            <rFont val="Tahoma"/>
            <family val="2"/>
            <charset val="161"/>
          </rPr>
          <t>ή</t>
        </r>
        <r>
          <rPr>
            <b/>
            <sz val="9"/>
            <color indexed="81"/>
            <rFont val="Tahoma"/>
            <family val="2"/>
            <charset val="161"/>
          </rPr>
          <t xml:space="preserve"> ΝΓΚ</t>
        </r>
        <r>
          <rPr>
            <sz val="9"/>
            <color indexed="81"/>
            <rFont val="Tahoma"/>
            <family val="2"/>
            <charset val="161"/>
          </rPr>
          <t xml:space="preserve">
Γράφουμε </t>
        </r>
        <r>
          <rPr>
            <b/>
            <sz val="9"/>
            <color indexed="81"/>
            <rFont val="Tahoma"/>
            <family val="2"/>
            <charset val="161"/>
          </rPr>
          <t>νγκ</t>
        </r>
        <r>
          <rPr>
            <sz val="9"/>
            <color indexed="81"/>
            <rFont val="Tahoma"/>
            <family val="2"/>
            <charset val="161"/>
          </rPr>
          <t xml:space="preserve"> καινό και αμέσως τον αύξον αριθμό του αντικειμένου. 
Πχ.   </t>
        </r>
        <r>
          <rPr>
            <b/>
            <sz val="9"/>
            <color indexed="81"/>
            <rFont val="Tahoma"/>
            <family val="2"/>
            <charset val="161"/>
          </rPr>
          <t xml:space="preserve"> νγκ 1964</t>
        </r>
        <r>
          <rPr>
            <sz val="9"/>
            <color indexed="81"/>
            <rFont val="Tahoma"/>
            <family val="2"/>
            <charset val="161"/>
          </rPr>
          <t xml:space="preserve">
 Όταν ο αύξον αριθμός του αντικειμένου είναι &lt; 1000
 βάζουμε τόσα μηδέν μπροστά, όσα θα χρειαστεί,
για να έχουμε ένα σύνολο 4 ψηφίων.
Πχ. Τα NGC40, NGC253 NGC1964
 στο πρόγραμμα τα γράφουμε:
NGC40 =      </t>
        </r>
        <r>
          <rPr>
            <b/>
            <sz val="9"/>
            <color indexed="81"/>
            <rFont val="Tahoma"/>
            <family val="2"/>
            <charset val="161"/>
          </rPr>
          <t>νγκ 0040</t>
        </r>
        <r>
          <rPr>
            <sz val="9"/>
            <color indexed="81"/>
            <rFont val="Tahoma"/>
            <family val="2"/>
            <charset val="161"/>
          </rPr>
          <t xml:space="preserve">  
 NGC253 =   </t>
        </r>
        <r>
          <rPr>
            <b/>
            <sz val="9"/>
            <color indexed="81"/>
            <rFont val="Tahoma"/>
            <family val="2"/>
            <charset val="161"/>
          </rPr>
          <t>νγκ 0253</t>
        </r>
        <r>
          <rPr>
            <sz val="9"/>
            <color indexed="81"/>
            <rFont val="Tahoma"/>
            <family val="2"/>
            <charset val="161"/>
          </rPr>
          <t xml:space="preserve">
NGC1964 =  </t>
        </r>
        <r>
          <rPr>
            <b/>
            <sz val="9"/>
            <color indexed="81"/>
            <rFont val="Tahoma"/>
            <family val="2"/>
            <charset val="161"/>
          </rPr>
          <t>νγκ 1964</t>
        </r>
        <r>
          <rPr>
            <sz val="9"/>
            <color indexed="81"/>
            <rFont val="Tahoma"/>
            <family val="2"/>
            <charset val="161"/>
          </rPr>
          <t xml:space="preserve">
</t>
        </r>
      </text>
    </comment>
    <comment ref="AP103" authorId="0">
      <text>
        <r>
          <rPr>
            <sz val="9"/>
            <color indexed="81"/>
            <rFont val="Tahoma"/>
            <family val="2"/>
            <charset val="161"/>
          </rPr>
          <t xml:space="preserve">
</t>
        </r>
        <r>
          <rPr>
            <b/>
            <sz val="9"/>
            <color indexed="81"/>
            <rFont val="Tahoma"/>
            <family val="2"/>
            <charset val="161"/>
          </rPr>
          <t>IC = εκ</t>
        </r>
        <r>
          <rPr>
            <sz val="9"/>
            <color indexed="81"/>
            <rFont val="Tahoma"/>
            <family val="2"/>
            <charset val="161"/>
          </rPr>
          <t xml:space="preserve"> ή</t>
        </r>
        <r>
          <rPr>
            <b/>
            <sz val="9"/>
            <color indexed="81"/>
            <rFont val="Tahoma"/>
            <family val="2"/>
            <charset val="161"/>
          </rPr>
          <t xml:space="preserve"> ΕΚ</t>
        </r>
        <r>
          <rPr>
            <sz val="9"/>
            <color indexed="81"/>
            <rFont val="Tahoma"/>
            <family val="2"/>
            <charset val="161"/>
          </rPr>
          <t xml:space="preserve">
Γράφουμε </t>
        </r>
        <r>
          <rPr>
            <b/>
            <sz val="9"/>
            <color indexed="81"/>
            <rFont val="Tahoma"/>
            <family val="2"/>
            <charset val="161"/>
          </rPr>
          <t>εκ</t>
        </r>
        <r>
          <rPr>
            <sz val="9"/>
            <color indexed="81"/>
            <rFont val="Tahoma"/>
            <family val="2"/>
            <charset val="161"/>
          </rPr>
          <t xml:space="preserve"> ή</t>
        </r>
        <r>
          <rPr>
            <b/>
            <sz val="9"/>
            <color indexed="81"/>
            <rFont val="Tahoma"/>
            <family val="2"/>
            <charset val="161"/>
          </rPr>
          <t xml:space="preserve"> ΕΚ</t>
        </r>
        <r>
          <rPr>
            <sz val="9"/>
            <color indexed="81"/>
            <rFont val="Tahoma"/>
            <family val="2"/>
            <charset val="161"/>
          </rPr>
          <t xml:space="preserve">, καινό και αμέσως τον αύξον αριθμό του αντικειμένου.
Πχ.   </t>
        </r>
        <r>
          <rPr>
            <b/>
            <sz val="9"/>
            <color indexed="81"/>
            <rFont val="Tahoma"/>
            <family val="2"/>
            <charset val="161"/>
          </rPr>
          <t>εκ 2003</t>
        </r>
        <r>
          <rPr>
            <sz val="9"/>
            <color indexed="81"/>
            <rFont val="Tahoma"/>
            <family val="2"/>
            <charset val="161"/>
          </rPr>
          <t xml:space="preserve">
Όταν ο αύξον αριθμός του αντικειμένου είναι &lt; 1000
 βάζουμε τόσα μηδέν μπροστά, όσα θα χρειαστεί
για να έχουμε ένα σύνολο 4 ψηφίων.
Βέβαια το IC418 είναι αυτό με τον μικρότερο
Αριθμό IC που έχω καταχωρίσει. 
Είναι ένα μικρό αλλά φωτεινότατο πλανητικό
στον Λογωό. 
Στο πρόγραμμα το δίνουμε   </t>
        </r>
        <r>
          <rPr>
            <b/>
            <sz val="9"/>
            <color indexed="81"/>
            <rFont val="Tahoma"/>
            <family val="2"/>
            <charset val="161"/>
          </rPr>
          <t>εκ 0418</t>
        </r>
        <r>
          <rPr>
            <sz val="9"/>
            <color indexed="81"/>
            <rFont val="Tahoma"/>
            <family val="2"/>
            <charset val="161"/>
          </rPr>
          <t xml:space="preserve">
</t>
        </r>
      </text>
    </comment>
    <comment ref="AP104" authorId="0">
      <text>
        <r>
          <rPr>
            <sz val="9"/>
            <color indexed="81"/>
            <rFont val="Tahoma"/>
            <family val="2"/>
            <charset val="161"/>
          </rPr>
          <t xml:space="preserve">
</t>
        </r>
        <r>
          <rPr>
            <b/>
            <sz val="9"/>
            <color indexed="81"/>
            <rFont val="Tahoma"/>
            <family val="2"/>
            <charset val="161"/>
          </rPr>
          <t xml:space="preserve">Μ = μ </t>
        </r>
        <r>
          <rPr>
            <sz val="9"/>
            <color indexed="81"/>
            <rFont val="Tahoma"/>
            <family val="2"/>
            <charset val="161"/>
          </rPr>
          <t>ή</t>
        </r>
        <r>
          <rPr>
            <b/>
            <sz val="9"/>
            <color indexed="81"/>
            <rFont val="Tahoma"/>
            <family val="2"/>
            <charset val="161"/>
          </rPr>
          <t xml:space="preserve"> Μ</t>
        </r>
        <r>
          <rPr>
            <sz val="9"/>
            <color indexed="81"/>
            <rFont val="Tahoma"/>
            <family val="2"/>
            <charset val="161"/>
          </rPr>
          <t xml:space="preserve">
Γράφουμε </t>
        </r>
        <r>
          <rPr>
            <b/>
            <sz val="9"/>
            <color indexed="81"/>
            <rFont val="Tahoma"/>
            <family val="2"/>
            <charset val="161"/>
          </rPr>
          <t>μ</t>
        </r>
        <r>
          <rPr>
            <sz val="9"/>
            <color indexed="81"/>
            <rFont val="Tahoma"/>
            <family val="2"/>
            <charset val="161"/>
          </rPr>
          <t xml:space="preserve"> ή</t>
        </r>
        <r>
          <rPr>
            <b/>
            <sz val="9"/>
            <color indexed="81"/>
            <rFont val="Tahoma"/>
            <family val="2"/>
            <charset val="161"/>
          </rPr>
          <t xml:space="preserve"> Μ</t>
        </r>
        <r>
          <rPr>
            <sz val="9"/>
            <color indexed="81"/>
            <rFont val="Tahoma"/>
            <family val="2"/>
            <charset val="161"/>
          </rPr>
          <t xml:space="preserve">, καινό και αμέσως τον αύξον αριθμό του αντικειμένου. 
Πχ.      </t>
        </r>
        <r>
          <rPr>
            <b/>
            <sz val="9"/>
            <color indexed="81"/>
            <rFont val="Tahoma"/>
            <family val="2"/>
            <charset val="161"/>
          </rPr>
          <t xml:space="preserve"> μ 101</t>
        </r>
        <r>
          <rPr>
            <sz val="9"/>
            <color indexed="81"/>
            <rFont val="Tahoma"/>
            <family val="2"/>
            <charset val="161"/>
          </rPr>
          <t xml:space="preserve">
Όταν ο αύξον αριθμός του αντικειμένου είναι &lt; 100
 βάζουμε τόσα μηδέν μπροστά, όσα θα χρειαστεί
για να έχουμε ένα σύνολο 3 ψηφίων.
Πχ. Τα Μ1,  Μ57  και Μ101
 στο πρόγραμμα τα γράφουμε:
Μ1 =     </t>
        </r>
        <r>
          <rPr>
            <b/>
            <sz val="9"/>
            <color indexed="81"/>
            <rFont val="Tahoma"/>
            <family val="2"/>
            <charset val="161"/>
          </rPr>
          <t>μ 001</t>
        </r>
        <r>
          <rPr>
            <sz val="9"/>
            <color indexed="81"/>
            <rFont val="Tahoma"/>
            <family val="2"/>
            <charset val="161"/>
          </rPr>
          <t xml:space="preserve">
Μ57 =   </t>
        </r>
        <r>
          <rPr>
            <b/>
            <sz val="9"/>
            <color indexed="81"/>
            <rFont val="Tahoma"/>
            <family val="2"/>
            <charset val="161"/>
          </rPr>
          <t>μ 057</t>
        </r>
        <r>
          <rPr>
            <sz val="9"/>
            <color indexed="81"/>
            <rFont val="Tahoma"/>
            <family val="2"/>
            <charset val="161"/>
          </rPr>
          <t xml:space="preserve">
Μ101 = </t>
        </r>
        <r>
          <rPr>
            <b/>
            <sz val="9"/>
            <color indexed="81"/>
            <rFont val="Tahoma"/>
            <family val="2"/>
            <charset val="161"/>
          </rPr>
          <t>μ 101</t>
        </r>
        <r>
          <rPr>
            <sz val="9"/>
            <color indexed="81"/>
            <rFont val="Tahoma"/>
            <family val="2"/>
            <charset val="161"/>
          </rPr>
          <t xml:space="preserve">
</t>
        </r>
      </text>
    </comment>
    <comment ref="AP106" authorId="0">
      <text>
        <r>
          <rPr>
            <sz val="9"/>
            <color indexed="81"/>
            <rFont val="Tahoma"/>
            <family val="2"/>
            <charset val="161"/>
          </rPr>
          <t xml:space="preserve">
Με τον κωδικό </t>
        </r>
        <r>
          <rPr>
            <b/>
            <sz val="9"/>
            <color indexed="81"/>
            <rFont val="Tahoma"/>
            <family val="2"/>
            <charset val="161"/>
          </rPr>
          <t>ααα 0  ααα 1 ααα 2</t>
        </r>
        <r>
          <rPr>
            <sz val="9"/>
            <color indexed="81"/>
            <rFont val="Tahoma"/>
            <family val="2"/>
            <charset val="161"/>
          </rPr>
          <t xml:space="preserve">  έως και το </t>
        </r>
        <r>
          <rPr>
            <b/>
            <sz val="9"/>
            <color indexed="81"/>
            <rFont val="Tahoma"/>
            <family val="2"/>
            <charset val="161"/>
          </rPr>
          <t>ααα 9</t>
        </r>
        <r>
          <rPr>
            <sz val="9"/>
            <color indexed="81"/>
            <rFont val="Tahoma"/>
            <family val="2"/>
            <charset val="161"/>
          </rPr>
          <t xml:space="preserve">  μπορούμε να καταχωρίσουμε τις συντεταγμένες της Σελήνης  των πλανητών σε διάφορες ημερομηνίες που επιλέγουμε. Επίσης μπορούμε να καταχωρίσουμε ότι άλλο θέλουμε.  Ποιο συγκεκριμένα  ααα κενό, είναι ο κωδικός και μετά το κενό, ο αριθμός. Αυτός  είναι ο αύξον αριθμός της καταχώρισης. Για λόγους ευκολίας βρίσκεται στην κορυφή του καταλόγου. 
</t>
        </r>
      </text>
    </comment>
  </commentList>
</comments>
</file>

<file path=xl/sharedStrings.xml><?xml version="1.0" encoding="utf-8"?>
<sst xmlns="http://schemas.openxmlformats.org/spreadsheetml/2006/main" count="10213" uniqueCount="4112">
  <si>
    <t>ΚΑΤΑΛΟΓΟΣ</t>
  </si>
  <si>
    <t xml:space="preserve">ΟΡΘΗ </t>
  </si>
  <si>
    <t>ΑΝΑΦΟΡΑ</t>
  </si>
  <si>
    <t xml:space="preserve">     α</t>
  </si>
  <si>
    <t>ΑΠΟΚΛΙΣΗ</t>
  </si>
  <si>
    <t xml:space="preserve">        δ</t>
  </si>
  <si>
    <t>Όνομα</t>
  </si>
  <si>
    <t xml:space="preserve"> Όνομα Ολογράφως</t>
  </si>
  <si>
    <t>Α όνομα</t>
  </si>
  <si>
    <t>Β όνομα</t>
  </si>
  <si>
    <t>Ώρες</t>
  </si>
  <si>
    <t>Λεπτά</t>
  </si>
  <si>
    <t>Δευτερόλ</t>
  </si>
  <si>
    <t>Μοίρες</t>
  </si>
  <si>
    <t>Ελληνικά</t>
  </si>
  <si>
    <t>Λατινικά</t>
  </si>
  <si>
    <t>αρχή</t>
  </si>
  <si>
    <t>του</t>
  </si>
  <si>
    <t>καταλόγου</t>
  </si>
  <si>
    <t xml:space="preserve">του </t>
  </si>
  <si>
    <t xml:space="preserve">Γιάννης </t>
  </si>
  <si>
    <t>Παπαδόπουλος</t>
  </si>
  <si>
    <t>Σελήνη - Πλανήτες</t>
  </si>
  <si>
    <t>ααα 0</t>
  </si>
  <si>
    <t>ααα 1</t>
  </si>
  <si>
    <t>Σελήνη 21-7-2017</t>
  </si>
  <si>
    <t>και 5 θερινή ώρα</t>
  </si>
  <si>
    <t>ααα 2</t>
  </si>
  <si>
    <t>ααα 3</t>
  </si>
  <si>
    <t>Ελεύθερη</t>
  </si>
  <si>
    <t>Θέση</t>
  </si>
  <si>
    <t>ααα 4</t>
  </si>
  <si>
    <t>ααα 5</t>
  </si>
  <si>
    <t>ααα 6</t>
  </si>
  <si>
    <t>ααα 7</t>
  </si>
  <si>
    <t>ααα 8</t>
  </si>
  <si>
    <t>ααα 9</t>
  </si>
  <si>
    <t>Αετός</t>
  </si>
  <si>
    <t xml:space="preserve">αετ </t>
  </si>
  <si>
    <t>Αστερισμός</t>
  </si>
  <si>
    <t>Constellatio</t>
  </si>
  <si>
    <t>Aquila</t>
  </si>
  <si>
    <t>Aql</t>
  </si>
  <si>
    <t>Αετού</t>
  </si>
  <si>
    <t>αετ α</t>
  </si>
  <si>
    <t>α Αετου</t>
  </si>
  <si>
    <t>α Altair</t>
  </si>
  <si>
    <t>αετ β</t>
  </si>
  <si>
    <t>β Αετου</t>
  </si>
  <si>
    <t>β Aquila</t>
  </si>
  <si>
    <t>αετ γ</t>
  </si>
  <si>
    <t>γ Αετου</t>
  </si>
  <si>
    <t>γ Aquila</t>
  </si>
  <si>
    <t>αετ δ</t>
  </si>
  <si>
    <t>δ Αετου</t>
  </si>
  <si>
    <t>δ Aquila</t>
  </si>
  <si>
    <t>αετ ε</t>
  </si>
  <si>
    <t>ε Αετου</t>
  </si>
  <si>
    <t>ε Aquila</t>
  </si>
  <si>
    <t>αετ ζ</t>
  </si>
  <si>
    <t>ζ Αετου</t>
  </si>
  <si>
    <t>ζ Aquila</t>
  </si>
  <si>
    <t>αετ θ</t>
  </si>
  <si>
    <t>θ Αετου</t>
  </si>
  <si>
    <t>θ Aquila</t>
  </si>
  <si>
    <t>αετ λ</t>
  </si>
  <si>
    <t>λ Αετου</t>
  </si>
  <si>
    <t>λ Aquila</t>
  </si>
  <si>
    <t>Αιγόκαιρος</t>
  </si>
  <si>
    <t xml:space="preserve">αιγ </t>
  </si>
  <si>
    <t>Αιγόκερος</t>
  </si>
  <si>
    <t>Capricornus</t>
  </si>
  <si>
    <t>Cap</t>
  </si>
  <si>
    <t>Αιγόκερου</t>
  </si>
  <si>
    <t>αιγ α</t>
  </si>
  <si>
    <t>α Αιγόκερου</t>
  </si>
  <si>
    <t>α Capricornus</t>
  </si>
  <si>
    <t>αιγ β</t>
  </si>
  <si>
    <t>β Αιγόκερου</t>
  </si>
  <si>
    <t>β Capricornus</t>
  </si>
  <si>
    <t>αιγ γ</t>
  </si>
  <si>
    <t>γ Αιγόκερου</t>
  </si>
  <si>
    <t>γ Capricornus</t>
  </si>
  <si>
    <t>αιγ δ</t>
  </si>
  <si>
    <t>δ Αιγόκερου</t>
  </si>
  <si>
    <t>δ Capricornus</t>
  </si>
  <si>
    <t>αιγ ζ</t>
  </si>
  <si>
    <t>ζ Αιγόκερου</t>
  </si>
  <si>
    <t>ζ Capricornus</t>
  </si>
  <si>
    <t>αιγ θ</t>
  </si>
  <si>
    <t>θ Αιγόκερου</t>
  </si>
  <si>
    <t>θ Capricornus</t>
  </si>
  <si>
    <t>αιγ ι</t>
  </si>
  <si>
    <t>ι Αιγόκερου</t>
  </si>
  <si>
    <t>ι Capricornus</t>
  </si>
  <si>
    <t>αιγ ψ</t>
  </si>
  <si>
    <t>ψ Αιγόκερου</t>
  </si>
  <si>
    <t>ψ Capricornus</t>
  </si>
  <si>
    <t>αιγ ω</t>
  </si>
  <si>
    <t>ω Αιγόκερου</t>
  </si>
  <si>
    <t>ω Capricornus</t>
  </si>
  <si>
    <t>Αλώπηξ</t>
  </si>
  <si>
    <t xml:space="preserve">αλω </t>
  </si>
  <si>
    <t>Vulpecula</t>
  </si>
  <si>
    <t>Vul</t>
  </si>
  <si>
    <t>Αλώπεκος</t>
  </si>
  <si>
    <t>αλω α</t>
  </si>
  <si>
    <t>α Αλώπεκος</t>
  </si>
  <si>
    <t>α Vulpecula</t>
  </si>
  <si>
    <t>Μεγάλη Άρκτος</t>
  </si>
  <si>
    <t xml:space="preserve">αμε </t>
  </si>
  <si>
    <t xml:space="preserve">Μεγάλη </t>
  </si>
  <si>
    <t>Άρκτος</t>
  </si>
  <si>
    <t>Ursa Major</t>
  </si>
  <si>
    <t>Uma</t>
  </si>
  <si>
    <t>Μεγάλης Άρκτου</t>
  </si>
  <si>
    <t>αμε 23</t>
  </si>
  <si>
    <t>23 Μεγάλης Άρκτου</t>
  </si>
  <si>
    <t>23 Ursa Major</t>
  </si>
  <si>
    <t>αμε α</t>
  </si>
  <si>
    <t>α Μεγάλης Άρκτου</t>
  </si>
  <si>
    <t>α Ursa Major</t>
  </si>
  <si>
    <t>αμε β</t>
  </si>
  <si>
    <t>β Μεγάλης Άρκτου</t>
  </si>
  <si>
    <t>β Ursa Major</t>
  </si>
  <si>
    <t>αμε γ</t>
  </si>
  <si>
    <t>γ Μεγάλης Άρκτου</t>
  </si>
  <si>
    <t>γ Ursa Major</t>
  </si>
  <si>
    <t>αμε δ</t>
  </si>
  <si>
    <t>δ Μεγάλης Άρκτου</t>
  </si>
  <si>
    <t>δ Ursa Major</t>
  </si>
  <si>
    <t>αμε ε</t>
  </si>
  <si>
    <t>ε Μεγάλης Άρκτου</t>
  </si>
  <si>
    <t>ε Ursa Major</t>
  </si>
  <si>
    <t>αμε ζ</t>
  </si>
  <si>
    <t>ζ Μεγάλης Άρκτου. Διπλός</t>
  </si>
  <si>
    <t>ζ Ursa Major. Διπλός</t>
  </si>
  <si>
    <t>αμε η</t>
  </si>
  <si>
    <t>η Μεγάλης Άρκτου</t>
  </si>
  <si>
    <t>η Ursa Major</t>
  </si>
  <si>
    <t>αμε θ</t>
  </si>
  <si>
    <t>θ Μεγάλης Άρκτου</t>
  </si>
  <si>
    <t>θ Ursa Major</t>
  </si>
  <si>
    <t>αμε ι</t>
  </si>
  <si>
    <t>ι Μεγάλης Άρκτου</t>
  </si>
  <si>
    <t>ι Ursa Major</t>
  </si>
  <si>
    <t>αμε κ</t>
  </si>
  <si>
    <t>κ Μεγάλης Άρκτου</t>
  </si>
  <si>
    <t>κ Ursa Major</t>
  </si>
  <si>
    <t>αμε λ</t>
  </si>
  <si>
    <t>λ Μεγάλης Άρκτου</t>
  </si>
  <si>
    <t>λ Ursa Major</t>
  </si>
  <si>
    <t>αμε μ</t>
  </si>
  <si>
    <t>μ Μεγάλης Άρκτου</t>
  </si>
  <si>
    <t>μ Ursa Major</t>
  </si>
  <si>
    <t>αμε ν</t>
  </si>
  <si>
    <t>ν Μεγάλης Άρκτου</t>
  </si>
  <si>
    <t>ν Ursa Major</t>
  </si>
  <si>
    <t>αμε ξ</t>
  </si>
  <si>
    <t>ξ Μεγάλης Άρκτου. Διπλός</t>
  </si>
  <si>
    <t>ξ  Ursa Major. Διπλός</t>
  </si>
  <si>
    <t>αμε ο</t>
  </si>
  <si>
    <t>ο Μεγάλης Άρκτου</t>
  </si>
  <si>
    <t>ο Ursa Major</t>
  </si>
  <si>
    <t>αμε υ</t>
  </si>
  <si>
    <t>υ Μεγάλης Άρκτου</t>
  </si>
  <si>
    <t>υ Ursa Major</t>
  </si>
  <si>
    <t>αμε χ</t>
  </si>
  <si>
    <t>χ Μεγάλης Άρκτου</t>
  </si>
  <si>
    <t>χ Ursa Major</t>
  </si>
  <si>
    <t>αμε ψ</t>
  </si>
  <si>
    <t>ψ Μεγάλης Άρκτου</t>
  </si>
  <si>
    <t>ψ Ursa Major</t>
  </si>
  <si>
    <t>Μικρή Άρκτος</t>
  </si>
  <si>
    <t xml:space="preserve">αμι </t>
  </si>
  <si>
    <t>Μικρή</t>
  </si>
  <si>
    <t>Ursa Minor</t>
  </si>
  <si>
    <t>Umi</t>
  </si>
  <si>
    <t>Μικρής Άρκτου</t>
  </si>
  <si>
    <t>αμι α</t>
  </si>
  <si>
    <t>α Μικρής Άρκτου. Πολικός αστέρας</t>
  </si>
  <si>
    <t>αUrsa Minor. Πολικός αστέρας</t>
  </si>
  <si>
    <t>αμι β</t>
  </si>
  <si>
    <t>β Μικρής Άρκτου</t>
  </si>
  <si>
    <t>β Ursa Minor</t>
  </si>
  <si>
    <t>αμι γ</t>
  </si>
  <si>
    <t>γ Μικρής Άρκτου</t>
  </si>
  <si>
    <t>γ Ursa Minor</t>
  </si>
  <si>
    <t>αμι δ</t>
  </si>
  <si>
    <t>δ Μικρής Άρκτου</t>
  </si>
  <si>
    <t>δ Ursa Minor</t>
  </si>
  <si>
    <t>αμι ε</t>
  </si>
  <si>
    <t>ε Μικρής Άρκτου</t>
  </si>
  <si>
    <t>ε Ursa Minor</t>
  </si>
  <si>
    <t>αμι ζ</t>
  </si>
  <si>
    <t>ζ Μικρής Άρκτου</t>
  </si>
  <si>
    <t>ζ Ursa Minor</t>
  </si>
  <si>
    <t>αμι η</t>
  </si>
  <si>
    <t>η Μικρής Άρκτου</t>
  </si>
  <si>
    <t>η Ursa Minor</t>
  </si>
  <si>
    <t>Ανδρομέδα</t>
  </si>
  <si>
    <t xml:space="preserve">ανδ </t>
  </si>
  <si>
    <t>Andromeda</t>
  </si>
  <si>
    <t>And</t>
  </si>
  <si>
    <t>Ανδρομέδας</t>
  </si>
  <si>
    <t>ανδ 51</t>
  </si>
  <si>
    <t>51 Ανδρομέδας</t>
  </si>
  <si>
    <t>51 Andromeda</t>
  </si>
  <si>
    <t>ανδ α</t>
  </si>
  <si>
    <t>α Ανδρομέδας</t>
  </si>
  <si>
    <t>α  Andromeda</t>
  </si>
  <si>
    <t>ανδ β</t>
  </si>
  <si>
    <t>β Ανδρομέδας</t>
  </si>
  <si>
    <t>β Andromeda</t>
  </si>
  <si>
    <t>ανδ γ</t>
  </si>
  <si>
    <t>γ Ανδρομέδας. Διπλός</t>
  </si>
  <si>
    <t>γ  Andromeda. Διπλός</t>
  </si>
  <si>
    <t>ανδ δ</t>
  </si>
  <si>
    <t>δ Ανδρομέδας</t>
  </si>
  <si>
    <t>δ Andromeda</t>
  </si>
  <si>
    <t>ανδ ι</t>
  </si>
  <si>
    <t>ι Ανδρομέδας</t>
  </si>
  <si>
    <t>ι  Andromeda</t>
  </si>
  <si>
    <t>ανδ κ</t>
  </si>
  <si>
    <t>κ Ανδρομέδας</t>
  </si>
  <si>
    <t>κ  Andromeda</t>
  </si>
  <si>
    <t>ανδ λ</t>
  </si>
  <si>
    <t>λ Ανδρομέδας</t>
  </si>
  <si>
    <t>λ  Andromeda</t>
  </si>
  <si>
    <t>ανδ μ</t>
  </si>
  <si>
    <t>μ Ανδρομέδας</t>
  </si>
  <si>
    <t>μ  Andromeda</t>
  </si>
  <si>
    <t>ανδ ν</t>
  </si>
  <si>
    <t>ν Ανδρομέδας</t>
  </si>
  <si>
    <t>ν  Andromeda</t>
  </si>
  <si>
    <t>ανδ ο</t>
  </si>
  <si>
    <t>ο Ανδρομέδας</t>
  </si>
  <si>
    <t>ο  Andromeda</t>
  </si>
  <si>
    <t>ανδ φ</t>
  </si>
  <si>
    <t>φ Ανδρομέδας</t>
  </si>
  <si>
    <t>φ   Andromeda</t>
  </si>
  <si>
    <t>ανδ ψ</t>
  </si>
  <si>
    <t>ψ Ανδρομέδας</t>
  </si>
  <si>
    <t>ψ  Andromeda</t>
  </si>
  <si>
    <t>Αντλία</t>
  </si>
  <si>
    <t xml:space="preserve">αντ </t>
  </si>
  <si>
    <t>Antlia</t>
  </si>
  <si>
    <t>Αντλίας</t>
  </si>
  <si>
    <t>Ασπίδα</t>
  </si>
  <si>
    <t xml:space="preserve">ασπ </t>
  </si>
  <si>
    <t>Scutum</t>
  </si>
  <si>
    <t>Sct</t>
  </si>
  <si>
    <t>Ασπίδας</t>
  </si>
  <si>
    <t>ασπ α</t>
  </si>
  <si>
    <t>α Ασπίδας</t>
  </si>
  <si>
    <t>α Scutum</t>
  </si>
  <si>
    <t>ασπ β</t>
  </si>
  <si>
    <t>β Ασπίδας</t>
  </si>
  <si>
    <t>β Scutum</t>
  </si>
  <si>
    <t>ασπ γ</t>
  </si>
  <si>
    <t>γ Ασπίδας</t>
  </si>
  <si>
    <t>γ Scutum</t>
  </si>
  <si>
    <t>Διάφοροι κατάλο</t>
  </si>
  <si>
    <t xml:space="preserve">αω </t>
  </si>
  <si>
    <t xml:space="preserve">διάφοροι </t>
  </si>
  <si>
    <t>κατάλογοι</t>
  </si>
  <si>
    <t>αντικειμένων</t>
  </si>
  <si>
    <t>αωπκ 190</t>
  </si>
  <si>
    <t xml:space="preserve">PK 190-17,1 </t>
  </si>
  <si>
    <t>Πλανητικό νεφέλωμα</t>
  </si>
  <si>
    <t>Βέλος</t>
  </si>
  <si>
    <t xml:space="preserve">βελ </t>
  </si>
  <si>
    <t>Saggitta</t>
  </si>
  <si>
    <t>Βέλους</t>
  </si>
  <si>
    <t>βελ α</t>
  </si>
  <si>
    <t>α Βέλους</t>
  </si>
  <si>
    <t>α Saggitta</t>
  </si>
  <si>
    <t>βελ β</t>
  </si>
  <si>
    <t>β Βέλους</t>
  </si>
  <si>
    <t>β Saggitta</t>
  </si>
  <si>
    <t>βελ γ</t>
  </si>
  <si>
    <t>γ Βέλους</t>
  </si>
  <si>
    <t>γ Saggitta</t>
  </si>
  <si>
    <t>βελ δ</t>
  </si>
  <si>
    <t>δ Βέλους</t>
  </si>
  <si>
    <t>δ Saggitta</t>
  </si>
  <si>
    <t>Βοώτης</t>
  </si>
  <si>
    <t xml:space="preserve">βοω </t>
  </si>
  <si>
    <t>Bootes</t>
  </si>
  <si>
    <t>Boo</t>
  </si>
  <si>
    <t>Βοώτου</t>
  </si>
  <si>
    <t>βοω 44</t>
  </si>
  <si>
    <t>44 Βοώτου. Διπλός</t>
  </si>
  <si>
    <t>44 Boo. Διπλός</t>
  </si>
  <si>
    <t>βοω α</t>
  </si>
  <si>
    <t>α Βοώτου</t>
  </si>
  <si>
    <t>α Boo</t>
  </si>
  <si>
    <t>βοω β</t>
  </si>
  <si>
    <t>β Βοώτου</t>
  </si>
  <si>
    <t>β Boo</t>
  </si>
  <si>
    <t>βοω γ</t>
  </si>
  <si>
    <t>γ Βοώτου</t>
  </si>
  <si>
    <t>γ Boo</t>
  </si>
  <si>
    <t>βοω δ</t>
  </si>
  <si>
    <t>δ Βοώτου</t>
  </si>
  <si>
    <t>δ Boo</t>
  </si>
  <si>
    <t>βοω ε</t>
  </si>
  <si>
    <t>ε Βοώτου. Διπλός</t>
  </si>
  <si>
    <t>ε Boo. Διπλός</t>
  </si>
  <si>
    <t>βοω ζ</t>
  </si>
  <si>
    <t>ζ Βοώτου</t>
  </si>
  <si>
    <t>ζ Boo</t>
  </si>
  <si>
    <t>βοω η</t>
  </si>
  <si>
    <t>η Βοώτου</t>
  </si>
  <si>
    <t>η Boo</t>
  </si>
  <si>
    <t>βοω θ</t>
  </si>
  <si>
    <t>θ Βοώτου</t>
  </si>
  <si>
    <t>θ Boo</t>
  </si>
  <si>
    <t>βοω κ</t>
  </si>
  <si>
    <t>κ Βοώτου. Διπλός</t>
  </si>
  <si>
    <t>κ Boo. Διπλός</t>
  </si>
  <si>
    <t>βοω μ</t>
  </si>
  <si>
    <t>μ Βοώτου. Διπλός</t>
  </si>
  <si>
    <t>μ Boo. Διπλός</t>
  </si>
  <si>
    <t>βοω ξ</t>
  </si>
  <si>
    <t>ξ Βοώτου. Διπλός</t>
  </si>
  <si>
    <t>ξ Boo. Διπλός</t>
  </si>
  <si>
    <t>βοω π</t>
  </si>
  <si>
    <t>π Βοώτου. Διπλός</t>
  </si>
  <si>
    <t>π Boo. Διπλός</t>
  </si>
  <si>
    <t>Βωμός</t>
  </si>
  <si>
    <t xml:space="preserve">βωμ </t>
  </si>
  <si>
    <t>Ara</t>
  </si>
  <si>
    <t>Βωμού</t>
  </si>
  <si>
    <t>Γερανός</t>
  </si>
  <si>
    <t xml:space="preserve">γερ </t>
  </si>
  <si>
    <t>Grus</t>
  </si>
  <si>
    <t>Gru</t>
  </si>
  <si>
    <t>Γερανού</t>
  </si>
  <si>
    <t>Γλύπτης</t>
  </si>
  <si>
    <t xml:space="preserve">γλυ </t>
  </si>
  <si>
    <t>Sculptor</t>
  </si>
  <si>
    <t>Scl</t>
  </si>
  <si>
    <t>Γλύπτη</t>
  </si>
  <si>
    <t>γλυ γ</t>
  </si>
  <si>
    <t>γ Γλύπτη</t>
  </si>
  <si>
    <t>γ Sculptor</t>
  </si>
  <si>
    <t>γλυ δ</t>
  </si>
  <si>
    <t>δ Γλύπτη</t>
  </si>
  <si>
    <t>δ Sculptor</t>
  </si>
  <si>
    <t>Γνώμων</t>
  </si>
  <si>
    <t xml:space="preserve">γνω </t>
  </si>
  <si>
    <t>Norma</t>
  </si>
  <si>
    <t>Nor</t>
  </si>
  <si>
    <t>Γνώμονα</t>
  </si>
  <si>
    <t>Δελφίνη</t>
  </si>
  <si>
    <t xml:space="preserve">δελ </t>
  </si>
  <si>
    <t>Delphinus</t>
  </si>
  <si>
    <t>Del</t>
  </si>
  <si>
    <t>Δελφίνος</t>
  </si>
  <si>
    <t>δελ α</t>
  </si>
  <si>
    <t>α Δελφίνος</t>
  </si>
  <si>
    <t>α Delphinus</t>
  </si>
  <si>
    <t>δελ β</t>
  </si>
  <si>
    <t>β Δελφίνος</t>
  </si>
  <si>
    <t>β Delphinus</t>
  </si>
  <si>
    <t>δελ γ</t>
  </si>
  <si>
    <t>γ Δελφίνος Διπλός</t>
  </si>
  <si>
    <t>γ Delphinus Διπλός</t>
  </si>
  <si>
    <t>δελ δ</t>
  </si>
  <si>
    <t>δ Δελφίνος</t>
  </si>
  <si>
    <t>δ Delphinus</t>
  </si>
  <si>
    <t>δελ ε</t>
  </si>
  <si>
    <t>ε Δελφίνος</t>
  </si>
  <si>
    <t>ε Delphinus</t>
  </si>
  <si>
    <t>δελ ζ</t>
  </si>
  <si>
    <t>ζ Δελφίνος</t>
  </si>
  <si>
    <t>ζ Delphinus</t>
  </si>
  <si>
    <t>Δίδυμοι</t>
  </si>
  <si>
    <t xml:space="preserve">διδ </t>
  </si>
  <si>
    <t>Gemini</t>
  </si>
  <si>
    <t>Gem</t>
  </si>
  <si>
    <t>Διδύμων</t>
  </si>
  <si>
    <t>διδ α</t>
  </si>
  <si>
    <t>Κάστωρ Πολλαπλός</t>
  </si>
  <si>
    <t>Castor. Διπλός</t>
  </si>
  <si>
    <t>διδ β</t>
  </si>
  <si>
    <t>Πολυδεύκης</t>
  </si>
  <si>
    <t>Pollux</t>
  </si>
  <si>
    <t>διδ γ</t>
  </si>
  <si>
    <t>γ Διδύμων</t>
  </si>
  <si>
    <t>γ Gemini</t>
  </si>
  <si>
    <t>διδ δ</t>
  </si>
  <si>
    <t>δ Διδύμων</t>
  </si>
  <si>
    <t>δ Gemini</t>
  </si>
  <si>
    <t>διδ ε</t>
  </si>
  <si>
    <t>ε Διδύμων</t>
  </si>
  <si>
    <t>ε Gemini</t>
  </si>
  <si>
    <t>διδ ζ</t>
  </si>
  <si>
    <t>ζ Διδύμων</t>
  </si>
  <si>
    <t>ζ Gemini</t>
  </si>
  <si>
    <t>διδ η</t>
  </si>
  <si>
    <t>η Διδύμων</t>
  </si>
  <si>
    <t>η Gemini</t>
  </si>
  <si>
    <t>διδ μ</t>
  </si>
  <si>
    <t>μ Διδύμων</t>
  </si>
  <si>
    <t>μ Gemini</t>
  </si>
  <si>
    <t>Δράκων</t>
  </si>
  <si>
    <t xml:space="preserve">δρα </t>
  </si>
  <si>
    <t>Draco</t>
  </si>
  <si>
    <t>Dra</t>
  </si>
  <si>
    <t>Δράκοντα</t>
  </si>
  <si>
    <t>δρα α</t>
  </si>
  <si>
    <t>α Δράκοντα</t>
  </si>
  <si>
    <t>α Draco</t>
  </si>
  <si>
    <t>δρα β</t>
  </si>
  <si>
    <t>β αΔράκοντα</t>
  </si>
  <si>
    <t>β Draco</t>
  </si>
  <si>
    <t>δρα γ</t>
  </si>
  <si>
    <t>γ Δράκοντα</t>
  </si>
  <si>
    <t>γ Draco</t>
  </si>
  <si>
    <t>δρα δ</t>
  </si>
  <si>
    <t>δ Δράκοντα</t>
  </si>
  <si>
    <t>δ Draco</t>
  </si>
  <si>
    <t>δρα ε</t>
  </si>
  <si>
    <t>ε Δράκοντα</t>
  </si>
  <si>
    <t>ε Draco</t>
  </si>
  <si>
    <t>δρα ζ</t>
  </si>
  <si>
    <t>ζ Δράκοντα. Διπλό</t>
  </si>
  <si>
    <t>ζ Draco. Διπλό</t>
  </si>
  <si>
    <t>δρα η</t>
  </si>
  <si>
    <t>η Δράκοντα</t>
  </si>
  <si>
    <t>η Draco</t>
  </si>
  <si>
    <t>δρα θ</t>
  </si>
  <si>
    <t>θ Δράκοντα</t>
  </si>
  <si>
    <t>θ Draco</t>
  </si>
  <si>
    <t>δρα ι</t>
  </si>
  <si>
    <t>ι Δράκοντα</t>
  </si>
  <si>
    <t>ι Draco</t>
  </si>
  <si>
    <t>δρα κ</t>
  </si>
  <si>
    <t>κ Δράκοντα. Διπλός</t>
  </si>
  <si>
    <t>κ Draco. Διπλός</t>
  </si>
  <si>
    <t>δρα λ</t>
  </si>
  <si>
    <t>λ Δράκοντα</t>
  </si>
  <si>
    <t>λ Draco</t>
  </si>
  <si>
    <t>δρα ν</t>
  </si>
  <si>
    <t>ν Δράκοντα Διπλός</t>
  </si>
  <si>
    <t>ν Draco. Διπλός</t>
  </si>
  <si>
    <t>δρα ξ</t>
  </si>
  <si>
    <t>ξ Δράκοντα</t>
  </si>
  <si>
    <t>ξ Draco</t>
  </si>
  <si>
    <t>δρα τ</t>
  </si>
  <si>
    <t>τ Δράκοντα</t>
  </si>
  <si>
    <t>τ Draco</t>
  </si>
  <si>
    <t>δρα φ</t>
  </si>
  <si>
    <t>φ Δράκοντα</t>
  </si>
  <si>
    <t>φ Draco</t>
  </si>
  <si>
    <t>δρα χ</t>
  </si>
  <si>
    <t>χ Δράκοντα</t>
  </si>
  <si>
    <t>χ Draco</t>
  </si>
  <si>
    <t xml:space="preserve">εκ </t>
  </si>
  <si>
    <t>Κατάλογος</t>
  </si>
  <si>
    <t xml:space="preserve">        IC</t>
  </si>
  <si>
    <t>εκ 0418</t>
  </si>
  <si>
    <t>IC 0418 Πλανητικό Νεφέλωμα</t>
  </si>
  <si>
    <t>Spirograph νεφέλωμα</t>
  </si>
  <si>
    <t>εκ 1276</t>
  </si>
  <si>
    <t>IC 1276 Σφαιρωτό σμήνος</t>
  </si>
  <si>
    <t>17. 600 Ly George Ogden Abell</t>
  </si>
  <si>
    <t>εκ 2003</t>
  </si>
  <si>
    <t>IC 2003 Πλανητικό Νεφέλωμα</t>
  </si>
  <si>
    <t>εκ 2149</t>
  </si>
  <si>
    <t>IC 2149 Πλανητικό Νεφέλωμα</t>
  </si>
  <si>
    <t>Πλανητικό Νεφέλωμα</t>
  </si>
  <si>
    <t>εκ 2165</t>
  </si>
  <si>
    <t>IC 2165 Πλανητικό Νεφέλωμα</t>
  </si>
  <si>
    <t>εκ 3568</t>
  </si>
  <si>
    <t>IC 3568 Πλανητικό Νεφέλωμα Φέτα Λεμονιού</t>
  </si>
  <si>
    <t>Lemon Slice Nebula</t>
  </si>
  <si>
    <t>εκ 4776</t>
  </si>
  <si>
    <t>IC 4776 Πλανητικό Νεφέλωμα</t>
  </si>
  <si>
    <t>εκ 4997</t>
  </si>
  <si>
    <t>IC 4997 Πλανητικό Νεφέλωμα</t>
  </si>
  <si>
    <t>εκ 5146</t>
  </si>
  <si>
    <t>IC 5146 Νεφέλωμα εκπομπής</t>
  </si>
  <si>
    <t>Cocoon Nebula</t>
  </si>
  <si>
    <t>εκ 5271</t>
  </si>
  <si>
    <t>IC 5271-10,8Γαλαξίας</t>
  </si>
  <si>
    <t xml:space="preserve">79 Mly Lewis Swift </t>
  </si>
  <si>
    <t>εξάντας</t>
  </si>
  <si>
    <t xml:space="preserve">εξα </t>
  </si>
  <si>
    <t>Sextans</t>
  </si>
  <si>
    <t>Sex</t>
  </si>
  <si>
    <t>εξάντα</t>
  </si>
  <si>
    <t>εξα α</t>
  </si>
  <si>
    <t>α εξάντα</t>
  </si>
  <si>
    <t>α Sextans</t>
  </si>
  <si>
    <t>εξα β</t>
  </si>
  <si>
    <t>β εξάντα</t>
  </si>
  <si>
    <t>β Sextans</t>
  </si>
  <si>
    <t>εξα γ</t>
  </si>
  <si>
    <t>γ εξάντα</t>
  </si>
  <si>
    <t>γ Sextans</t>
  </si>
  <si>
    <t>Ζυγός</t>
  </si>
  <si>
    <t xml:space="preserve">ζυγ </t>
  </si>
  <si>
    <t>Libra</t>
  </si>
  <si>
    <t>Lib</t>
  </si>
  <si>
    <t>Ζυγού</t>
  </si>
  <si>
    <t>ζυγ α</t>
  </si>
  <si>
    <t>α Ζυγού. Διπλός</t>
  </si>
  <si>
    <t>α Libra. Διπλός</t>
  </si>
  <si>
    <t>ζυγ β</t>
  </si>
  <si>
    <t>β Ζυγού</t>
  </si>
  <si>
    <t>β Libra</t>
  </si>
  <si>
    <t>ζυγ γ</t>
  </si>
  <si>
    <t>γ Ζυγού</t>
  </si>
  <si>
    <t>γ Libra</t>
  </si>
  <si>
    <t>ζυγ σ</t>
  </si>
  <si>
    <t>σ Ζυγού</t>
  </si>
  <si>
    <t>σ Libra</t>
  </si>
  <si>
    <t>Ηνίοχος</t>
  </si>
  <si>
    <t xml:space="preserve">ηνι </t>
  </si>
  <si>
    <t>Auriga</t>
  </si>
  <si>
    <t>Aur</t>
  </si>
  <si>
    <t>Ηνιόχου</t>
  </si>
  <si>
    <t>ηνι α</t>
  </si>
  <si>
    <t>α Ηνιόχου. Αίγα</t>
  </si>
  <si>
    <t>α Auriga. Capella</t>
  </si>
  <si>
    <t>ηνι β</t>
  </si>
  <si>
    <t>β Ηνιόχου</t>
  </si>
  <si>
    <t>β Auriga</t>
  </si>
  <si>
    <t>ηνι θ</t>
  </si>
  <si>
    <t>θ Ηνιόχου</t>
  </si>
  <si>
    <t>θ Auriga</t>
  </si>
  <si>
    <t>ηνι ι</t>
  </si>
  <si>
    <t>ι Ηνιόχου</t>
  </si>
  <si>
    <t>ι Auriga</t>
  </si>
  <si>
    <t>Ηρακλής</t>
  </si>
  <si>
    <t xml:space="preserve">ηρα </t>
  </si>
  <si>
    <t>Hercules</t>
  </si>
  <si>
    <t>Her</t>
  </si>
  <si>
    <t>Ηρακλέους</t>
  </si>
  <si>
    <t>ηρα 95</t>
  </si>
  <si>
    <t>95 Ηρακλέους. Διπλός</t>
  </si>
  <si>
    <t>45 Hercules. Διπλός</t>
  </si>
  <si>
    <t>ηρα α</t>
  </si>
  <si>
    <t>α Ηρακλέους. Διπλός</t>
  </si>
  <si>
    <t>α Hercules. Διπλός</t>
  </si>
  <si>
    <t>ηρα β</t>
  </si>
  <si>
    <t>α Ηρακλέους</t>
  </si>
  <si>
    <t>β Hercules</t>
  </si>
  <si>
    <t>ηρα γ</t>
  </si>
  <si>
    <t>γ Ηρακλέους. Διπλός</t>
  </si>
  <si>
    <t>γ Hercules. Διπλός</t>
  </si>
  <si>
    <t>ηρα δ</t>
  </si>
  <si>
    <t>δ Ηρακλέους. Διπλός</t>
  </si>
  <si>
    <t>δ Hercules. Διπολός</t>
  </si>
  <si>
    <t>ηρα ε</t>
  </si>
  <si>
    <t>ε Ηρακλέους</t>
  </si>
  <si>
    <t>ε Hercules</t>
  </si>
  <si>
    <t>ηρα ζ</t>
  </si>
  <si>
    <t>ζ Ηρακλέους</t>
  </si>
  <si>
    <t>ζ Hercules</t>
  </si>
  <si>
    <t>ηρα η</t>
  </si>
  <si>
    <t>η Ηρακλέους</t>
  </si>
  <si>
    <t>η Hercules</t>
  </si>
  <si>
    <t>ηρα θ</t>
  </si>
  <si>
    <t>θ Ηρακλέους</t>
  </si>
  <si>
    <t>θ Hercules</t>
  </si>
  <si>
    <t>ηρα ι</t>
  </si>
  <si>
    <t>ι Ηρακλέους</t>
  </si>
  <si>
    <t>ι Hercules</t>
  </si>
  <si>
    <t>ηρα κ</t>
  </si>
  <si>
    <t>κ Ηρακλέους. Διπλός</t>
  </si>
  <si>
    <t>κ Hercules. Διπλός</t>
  </si>
  <si>
    <t>ηρα λ</t>
  </si>
  <si>
    <t>λ Ηρακλέους</t>
  </si>
  <si>
    <t>λ Hercules</t>
  </si>
  <si>
    <t>ηρα μ</t>
  </si>
  <si>
    <t>μ Ηρακλέους</t>
  </si>
  <si>
    <t>μ Hercules</t>
  </si>
  <si>
    <t>ηρα ξ</t>
  </si>
  <si>
    <t>ξ Ηρακλέους</t>
  </si>
  <si>
    <t>ξ Hercules</t>
  </si>
  <si>
    <t>ηρα ο</t>
  </si>
  <si>
    <t>ο Ηρακλέους</t>
  </si>
  <si>
    <t>ο Hercules</t>
  </si>
  <si>
    <t>ηρα π</t>
  </si>
  <si>
    <t>π Ηρακλέους</t>
  </si>
  <si>
    <t>π Hercules</t>
  </si>
  <si>
    <t>ηρα ρ</t>
  </si>
  <si>
    <t>ρ Ηρακλέους. Διπλός</t>
  </si>
  <si>
    <t>ρ Hercules. Διπλός</t>
  </si>
  <si>
    <t>ηρα σ</t>
  </si>
  <si>
    <t>σ Ηρακλέους. Διπλός</t>
  </si>
  <si>
    <t>σ Hercules. Διπλός</t>
  </si>
  <si>
    <t>ηρα τ</t>
  </si>
  <si>
    <t>τ Ηρακλέους. Διπλός</t>
  </si>
  <si>
    <t>τ Hercules. Διπλός</t>
  </si>
  <si>
    <t>ηρα υ</t>
  </si>
  <si>
    <t>υ Ηρακλέους</t>
  </si>
  <si>
    <t>υ Hercules</t>
  </si>
  <si>
    <t>ηρα φ</t>
  </si>
  <si>
    <t>φ Ηρακλέους</t>
  </si>
  <si>
    <t>φ Hercules</t>
  </si>
  <si>
    <t>ηρα χ</t>
  </si>
  <si>
    <t>χ Ηρακλέους</t>
  </si>
  <si>
    <t>χ Hercules</t>
  </si>
  <si>
    <t>Ηριδανός</t>
  </si>
  <si>
    <t xml:space="preserve">ηρι </t>
  </si>
  <si>
    <t>Eridanus</t>
  </si>
  <si>
    <t>Eri</t>
  </si>
  <si>
    <t>Ηριδανού</t>
  </si>
  <si>
    <t>ηρι β</t>
  </si>
  <si>
    <t>β Ηριδανού</t>
  </si>
  <si>
    <t>β Eridanus</t>
  </si>
  <si>
    <t>ηρι γ</t>
  </si>
  <si>
    <t>γ Ηριδανού</t>
  </si>
  <si>
    <t>γ Eridanus</t>
  </si>
  <si>
    <t>ηρι δ</t>
  </si>
  <si>
    <t>δ Ηριδανού</t>
  </si>
  <si>
    <t>δ Eridanus</t>
  </si>
  <si>
    <t>ηρι ε</t>
  </si>
  <si>
    <t>ε Ηριδανού</t>
  </si>
  <si>
    <t>ε Eridanus</t>
  </si>
  <si>
    <t>ηρι ζ</t>
  </si>
  <si>
    <t>ζ Ηριδανού</t>
  </si>
  <si>
    <t>ζ Eridanus</t>
  </si>
  <si>
    <t>ηρι η</t>
  </si>
  <si>
    <t>η Ηριδανού</t>
  </si>
  <si>
    <t>η Eridanus</t>
  </si>
  <si>
    <t>ηρι μ</t>
  </si>
  <si>
    <t>μ Ηριδανού</t>
  </si>
  <si>
    <t>μ Eridanus</t>
  </si>
  <si>
    <t>ηρι ν</t>
  </si>
  <si>
    <t>ν Ηριδανού</t>
  </si>
  <si>
    <t>ν Eridanus</t>
  </si>
  <si>
    <t>ηρι ο1</t>
  </si>
  <si>
    <t>ο Ηριδανού</t>
  </si>
  <si>
    <t>ο Eridanus</t>
  </si>
  <si>
    <t>ηρι π</t>
  </si>
  <si>
    <t>π Ηριδανού</t>
  </si>
  <si>
    <t>π Eridanus</t>
  </si>
  <si>
    <t>ηρι τ1</t>
  </si>
  <si>
    <t>τ1 Ηριδανού</t>
  </si>
  <si>
    <t>τ1 Eridanus</t>
  </si>
  <si>
    <t>ηρι τ2</t>
  </si>
  <si>
    <t>τ2 Ηριδανού</t>
  </si>
  <si>
    <t>τ2 Eridanus</t>
  </si>
  <si>
    <t>ηρι τ3</t>
  </si>
  <si>
    <t>τ3 Ηριδανού</t>
  </si>
  <si>
    <t>τ3 Eridanus</t>
  </si>
  <si>
    <t>ηρι τ4</t>
  </si>
  <si>
    <t>τ4 Ηριδανού</t>
  </si>
  <si>
    <t>τ4 Eridanus</t>
  </si>
  <si>
    <t>Ιππάριο</t>
  </si>
  <si>
    <t xml:space="preserve">ιππ </t>
  </si>
  <si>
    <t>Equuleus</t>
  </si>
  <si>
    <t>Equ</t>
  </si>
  <si>
    <t>Ιππαρίου</t>
  </si>
  <si>
    <t>ιππ α</t>
  </si>
  <si>
    <t>α Ιππαρίου</t>
  </si>
  <si>
    <t>α Equuleus</t>
  </si>
  <si>
    <t>ιππ γ</t>
  </si>
  <si>
    <t>γ Ιππρίου</t>
  </si>
  <si>
    <t>γ Equuleus</t>
  </si>
  <si>
    <t>ιππ δ</t>
  </si>
  <si>
    <t>δ Ιππαρίου</t>
  </si>
  <si>
    <t>δ Equuleus</t>
  </si>
  <si>
    <t>Ιστία</t>
  </si>
  <si>
    <t xml:space="preserve">ιστ </t>
  </si>
  <si>
    <t>Vela</t>
  </si>
  <si>
    <t>Vel</t>
  </si>
  <si>
    <t>Ιστίων</t>
  </si>
  <si>
    <t>Ιχθύες</t>
  </si>
  <si>
    <t xml:space="preserve">ιχθ </t>
  </si>
  <si>
    <t>Pisces</t>
  </si>
  <si>
    <t>Psc</t>
  </si>
  <si>
    <t>Ιχθύων</t>
  </si>
  <si>
    <t>ιχθ α</t>
  </si>
  <si>
    <t>α Ιχθύων</t>
  </si>
  <si>
    <t>α Pisces</t>
  </si>
  <si>
    <t>ιχθ β</t>
  </si>
  <si>
    <t>β Ιχθύων</t>
  </si>
  <si>
    <t>β Pisces</t>
  </si>
  <si>
    <t>ιχθ γ</t>
  </si>
  <si>
    <t>γ Ιχθύων</t>
  </si>
  <si>
    <t>γ Pisces</t>
  </si>
  <si>
    <t>ιχθ δ</t>
  </si>
  <si>
    <t>δ Ιχθύων</t>
  </si>
  <si>
    <t>δ Pisces</t>
  </si>
  <si>
    <t>ιχθ ε</t>
  </si>
  <si>
    <t>ε Ιχθύων. Διπλός</t>
  </si>
  <si>
    <t>ε Pisces. Διπλός</t>
  </si>
  <si>
    <t>ιχθ η</t>
  </si>
  <si>
    <t>η Ιχθύων. Διπλός</t>
  </si>
  <si>
    <t>η Pisces. Διπλός</t>
  </si>
  <si>
    <t>ιχθ θ</t>
  </si>
  <si>
    <t>θ Ιχθύων</t>
  </si>
  <si>
    <t>θ Pisces</t>
  </si>
  <si>
    <t>ιχθ ι</t>
  </si>
  <si>
    <t>ι Ιχθύων</t>
  </si>
  <si>
    <t>ι Pisces</t>
  </si>
  <si>
    <t>ιχθ κ</t>
  </si>
  <si>
    <t>κ Ιχθύων</t>
  </si>
  <si>
    <t>κ Pisces</t>
  </si>
  <si>
    <t>ιχθ λ</t>
  </si>
  <si>
    <t>λ Ιχθύων</t>
  </si>
  <si>
    <t>λ Pisces</t>
  </si>
  <si>
    <t>ιχθ μ</t>
  </si>
  <si>
    <t>μ Ιχθύων</t>
  </si>
  <si>
    <t>μ Pisces</t>
  </si>
  <si>
    <t>ιχθ ν</t>
  </si>
  <si>
    <t>ν Ιχθύων</t>
  </si>
  <si>
    <t>ν Pisces</t>
  </si>
  <si>
    <t>ιχθ ο</t>
  </si>
  <si>
    <t>ο Ιχθύων</t>
  </si>
  <si>
    <t>ο Pisces</t>
  </si>
  <si>
    <t>ιχθ ω</t>
  </si>
  <si>
    <t>ω Ιχθύων</t>
  </si>
  <si>
    <t>ω Pisces</t>
  </si>
  <si>
    <t>Νότιος Ιχθύς</t>
  </si>
  <si>
    <t xml:space="preserve">ιχν </t>
  </si>
  <si>
    <t>Νότιος</t>
  </si>
  <si>
    <t>Ιχθύς</t>
  </si>
  <si>
    <t>Piscis Austrinus</t>
  </si>
  <si>
    <t>PsA</t>
  </si>
  <si>
    <t>Νοτίου ιχθύ</t>
  </si>
  <si>
    <t>ιχν α</t>
  </si>
  <si>
    <t>α Νοτίου ιχθύ. Fomalhaut. Διπλός</t>
  </si>
  <si>
    <t>α Piscis Austrinus. Fomalhaut. Διπλός</t>
  </si>
  <si>
    <t>ιχν β</t>
  </si>
  <si>
    <t>β Νοτίου ιχθύ</t>
  </si>
  <si>
    <t xml:space="preserve">β Piscis Austrinus. </t>
  </si>
  <si>
    <t>ιχν γ</t>
  </si>
  <si>
    <t>γ Νοτίου ιχθύ</t>
  </si>
  <si>
    <t>γ Piscis Austrinus</t>
  </si>
  <si>
    <t>ιχν δ</t>
  </si>
  <si>
    <t>δ Νοτίου ιχθύ</t>
  </si>
  <si>
    <t>δ Piscis Austrinus</t>
  </si>
  <si>
    <t>ιχν ε</t>
  </si>
  <si>
    <t>ε Νοτίου ιχθύ</t>
  </si>
  <si>
    <t>ε Piscis Austrinus</t>
  </si>
  <si>
    <t>Κάμηλοπάρδαλη</t>
  </si>
  <si>
    <t xml:space="preserve">καμη </t>
  </si>
  <si>
    <t>Καμηλο-</t>
  </si>
  <si>
    <t>πάρδαλη</t>
  </si>
  <si>
    <t>Camelo-</t>
  </si>
  <si>
    <t>pardalis</t>
  </si>
  <si>
    <t>Cam</t>
  </si>
  <si>
    <t>Καμηλοπάρδαλης</t>
  </si>
  <si>
    <t>Camelopardalis</t>
  </si>
  <si>
    <t>καμη α</t>
  </si>
  <si>
    <t>α Καμηλοπάρδαλης</t>
  </si>
  <si>
    <t>α Camelopardalis</t>
  </si>
  <si>
    <t>καμη β</t>
  </si>
  <si>
    <t>β Καμηλοπάρδαλης</t>
  </si>
  <si>
    <t>β Camelopardalis</t>
  </si>
  <si>
    <t>καμη γ</t>
  </si>
  <si>
    <t>γ Καμηλοπάρδαλης</t>
  </si>
  <si>
    <t>γ Camelopardalis</t>
  </si>
  <si>
    <t>Κάμινος</t>
  </si>
  <si>
    <t xml:space="preserve">καμι </t>
  </si>
  <si>
    <t>Fornax</t>
  </si>
  <si>
    <t>For</t>
  </si>
  <si>
    <t>Καμίνου</t>
  </si>
  <si>
    <t>Καρκίνος</t>
  </si>
  <si>
    <t xml:space="preserve">καρ </t>
  </si>
  <si>
    <t>Cancer</t>
  </si>
  <si>
    <t>Cnc</t>
  </si>
  <si>
    <t>Καρκίνου</t>
  </si>
  <si>
    <t>καρ α</t>
  </si>
  <si>
    <t>α Καρκίνου</t>
  </si>
  <si>
    <t>α Cancer</t>
  </si>
  <si>
    <t>καρ β</t>
  </si>
  <si>
    <t>β Καρκίνου</t>
  </si>
  <si>
    <t>β Cancer</t>
  </si>
  <si>
    <t>καρ γ</t>
  </si>
  <si>
    <t>γ Καρκίνου</t>
  </si>
  <si>
    <t>γ Cancer</t>
  </si>
  <si>
    <t>καρ δ</t>
  </si>
  <si>
    <t>δ Καρκίνου. Διπλός</t>
  </si>
  <si>
    <t>δ Cancer. Διπλός</t>
  </si>
  <si>
    <t>καρ ζ</t>
  </si>
  <si>
    <t>ζ Καρκίνου. Διπλός</t>
  </si>
  <si>
    <t>ζ Cancer. Διπλός</t>
  </si>
  <si>
    <t>καρ ι</t>
  </si>
  <si>
    <t>ι Καρκίνου</t>
  </si>
  <si>
    <t>ι Cancer</t>
  </si>
  <si>
    <t>Κασσιόπη</t>
  </si>
  <si>
    <t xml:space="preserve">κασ </t>
  </si>
  <si>
    <t>Cassiopeia</t>
  </si>
  <si>
    <t>cas</t>
  </si>
  <si>
    <t>Κασσιόπης</t>
  </si>
  <si>
    <t>κασ α</t>
  </si>
  <si>
    <t>α Κασσιόπης</t>
  </si>
  <si>
    <t>α Cassiopeia</t>
  </si>
  <si>
    <t>κασ β</t>
  </si>
  <si>
    <t>β Κασσιόπης</t>
  </si>
  <si>
    <t>β Cassiopeia</t>
  </si>
  <si>
    <t>κασ γ</t>
  </si>
  <si>
    <t>γ Κασσιόπης</t>
  </si>
  <si>
    <t>γ Cassiopeia</t>
  </si>
  <si>
    <t>κασ δ</t>
  </si>
  <si>
    <t>δ Κασσιόπης</t>
  </si>
  <si>
    <t>δ Cassiopeia</t>
  </si>
  <si>
    <t>κασ ε</t>
  </si>
  <si>
    <t>ε Κασσιόπης</t>
  </si>
  <si>
    <t>ε Cassiopeia</t>
  </si>
  <si>
    <t>κασ η</t>
  </si>
  <si>
    <t>η Κασσιόπης. Διπλός</t>
  </si>
  <si>
    <t>η Cassiopeia. Διπλός</t>
  </si>
  <si>
    <t>κασ ι</t>
  </si>
  <si>
    <t>ι Κασσιόπης. Πολλαπλός</t>
  </si>
  <si>
    <t>ι Cassiopeia. Πολλαπλός</t>
  </si>
  <si>
    <t>κασ κ</t>
  </si>
  <si>
    <t>κ Κασσιόπης</t>
  </si>
  <si>
    <t>κ Cassiopeia</t>
  </si>
  <si>
    <t>κασ ο</t>
  </si>
  <si>
    <t>ο Κασσιόπης</t>
  </si>
  <si>
    <t>ο Cassiopeia</t>
  </si>
  <si>
    <t>Κένταυρος</t>
  </si>
  <si>
    <t xml:space="preserve">κεν </t>
  </si>
  <si>
    <t>Centaurus</t>
  </si>
  <si>
    <t>Cen</t>
  </si>
  <si>
    <t>Κενταύρου</t>
  </si>
  <si>
    <t>κεν θ</t>
  </si>
  <si>
    <t>θ Κενταύρου</t>
  </si>
  <si>
    <t>θ Centaurus</t>
  </si>
  <si>
    <t>κεν ι</t>
  </si>
  <si>
    <t>ι Κενταύρου</t>
  </si>
  <si>
    <t>ι Centaurus</t>
  </si>
  <si>
    <t>Κήτος</t>
  </si>
  <si>
    <t xml:space="preserve">κητ </t>
  </si>
  <si>
    <t>Cetus</t>
  </si>
  <si>
    <t>Cet</t>
  </si>
  <si>
    <t>Κήτους</t>
  </si>
  <si>
    <t>κητ α</t>
  </si>
  <si>
    <t>α Κήτους</t>
  </si>
  <si>
    <t>α Cetus</t>
  </si>
  <si>
    <t>κητ β</t>
  </si>
  <si>
    <t xml:space="preserve">β Κήτους </t>
  </si>
  <si>
    <t>β Cetus Diphda</t>
  </si>
  <si>
    <t>κητ γ</t>
  </si>
  <si>
    <t>γ Κήτους. Διπλός</t>
  </si>
  <si>
    <t>γ Cetus. Διπλός</t>
  </si>
  <si>
    <t>κητ δ</t>
  </si>
  <si>
    <t>δ Κήτους</t>
  </si>
  <si>
    <t>δ Cetus</t>
  </si>
  <si>
    <t>κητ ζ</t>
  </si>
  <si>
    <t>ζ Κήτους</t>
  </si>
  <si>
    <t>ζ Cetus</t>
  </si>
  <si>
    <t>κητ η</t>
  </si>
  <si>
    <t>η Κήτους</t>
  </si>
  <si>
    <t>η Cetus</t>
  </si>
  <si>
    <t>κητ θ</t>
  </si>
  <si>
    <t>θ Κήτους</t>
  </si>
  <si>
    <t>θ Cetus</t>
  </si>
  <si>
    <t>κητ ι</t>
  </si>
  <si>
    <t>ι Κήτους</t>
  </si>
  <si>
    <t>ι Cetus</t>
  </si>
  <si>
    <t>κητ ο</t>
  </si>
  <si>
    <t>ο Κήτους. Ο Θαυμάσιος!</t>
  </si>
  <si>
    <t>ο Cetus Mira</t>
  </si>
  <si>
    <t>κητ π</t>
  </si>
  <si>
    <t>π Κήτους</t>
  </si>
  <si>
    <t>π Cetus</t>
  </si>
  <si>
    <t>κητ τ</t>
  </si>
  <si>
    <t>τ Κήτους Γείτονας</t>
  </si>
  <si>
    <t>τ Cetus 12 Έτη φωτός</t>
  </si>
  <si>
    <t>κητ υ</t>
  </si>
  <si>
    <t>υ Κήτους</t>
  </si>
  <si>
    <t>υ Cetus</t>
  </si>
  <si>
    <t>Κηφέας</t>
  </si>
  <si>
    <t xml:space="preserve">κηφ </t>
  </si>
  <si>
    <t>Cepheus</t>
  </si>
  <si>
    <t>Cep</t>
  </si>
  <si>
    <t>Κηφέως</t>
  </si>
  <si>
    <t>κηφ α</t>
  </si>
  <si>
    <t>α Κηφέως</t>
  </si>
  <si>
    <t>α Cepheus</t>
  </si>
  <si>
    <t>κηφ β</t>
  </si>
  <si>
    <t>β Κηφέως</t>
  </si>
  <si>
    <t>β Cepheus</t>
  </si>
  <si>
    <t>κηφ γ</t>
  </si>
  <si>
    <t>γ Κηφέως</t>
  </si>
  <si>
    <t>γ Cepheus</t>
  </si>
  <si>
    <t>κηφ δ</t>
  </si>
  <si>
    <t xml:space="preserve">δ Κηφέως.Κλασικός Κηφείδας </t>
  </si>
  <si>
    <t>δ Cepheus.Διπλός</t>
  </si>
  <si>
    <t>κηφ ε</t>
  </si>
  <si>
    <t>ε Κηφέως</t>
  </si>
  <si>
    <t>ε Cepheus</t>
  </si>
  <si>
    <t>κηφ ζ</t>
  </si>
  <si>
    <t>ζ Κηφέως</t>
  </si>
  <si>
    <t>ζ Cepheus</t>
  </si>
  <si>
    <t>κηφ η</t>
  </si>
  <si>
    <t>η Κηφέως</t>
  </si>
  <si>
    <t>η Cepheus</t>
  </si>
  <si>
    <t>κηφ θ</t>
  </si>
  <si>
    <t>θ Κηφέως</t>
  </si>
  <si>
    <t>θ Cepheus</t>
  </si>
  <si>
    <t>κηφ ι</t>
  </si>
  <si>
    <t>ι Κηφέως</t>
  </si>
  <si>
    <t>ι Cepheus</t>
  </si>
  <si>
    <t>κηφ μ</t>
  </si>
  <si>
    <t>μ Κηφέως</t>
  </si>
  <si>
    <t>μ Cepheus</t>
  </si>
  <si>
    <t>κηφ ξ</t>
  </si>
  <si>
    <t>ξ Κηφέως. Διπλός</t>
  </si>
  <si>
    <t>ξ Cepheus. Διπλός</t>
  </si>
  <si>
    <t>Μέγας Κύων</t>
  </si>
  <si>
    <t xml:space="preserve">κμε </t>
  </si>
  <si>
    <t>Μέγας</t>
  </si>
  <si>
    <t>Κύων</t>
  </si>
  <si>
    <t>Canis Major</t>
  </si>
  <si>
    <t>CMa</t>
  </si>
  <si>
    <t>Μεγάλου Κύνα</t>
  </si>
  <si>
    <t>κμε α</t>
  </si>
  <si>
    <t>α Μεγάλου Κύνα. Διπλός</t>
  </si>
  <si>
    <t>Σείριος</t>
  </si>
  <si>
    <t>κμε β</t>
  </si>
  <si>
    <t>β Μεγάλου Κύνα</t>
  </si>
  <si>
    <t>β Canis Major</t>
  </si>
  <si>
    <t>κμε δ</t>
  </si>
  <si>
    <t>δ Μεγάλου Κύνα</t>
  </si>
  <si>
    <t>δ Canis Major</t>
  </si>
  <si>
    <t>κμε ε</t>
  </si>
  <si>
    <t>ε Μεγάλου Κύνα</t>
  </si>
  <si>
    <t>ε Canis Major</t>
  </si>
  <si>
    <t>κμε ζ</t>
  </si>
  <si>
    <t>ζ Μεγάλου Κύνα</t>
  </si>
  <si>
    <t>ζ Canis Major</t>
  </si>
  <si>
    <t>κμε η</t>
  </si>
  <si>
    <t>η Μεγάλου Κύνα</t>
  </si>
  <si>
    <t>η Canis Major</t>
  </si>
  <si>
    <t>κμε ν1</t>
  </si>
  <si>
    <r>
      <t>ν</t>
    </r>
    <r>
      <rPr>
        <sz val="8"/>
        <color theme="1"/>
        <rFont val="Times New Roman"/>
        <family val="1"/>
        <charset val="161"/>
      </rPr>
      <t>1</t>
    </r>
    <r>
      <rPr>
        <sz val="11"/>
        <color theme="1"/>
        <rFont val="Times New Roman"/>
        <family val="1"/>
        <charset val="161"/>
      </rPr>
      <t xml:space="preserve"> Μεγάλου Κύνα Διπλός</t>
    </r>
  </si>
  <si>
    <r>
      <t>ν</t>
    </r>
    <r>
      <rPr>
        <sz val="8"/>
        <color theme="1"/>
        <rFont val="Times New Roman"/>
        <family val="1"/>
        <charset val="161"/>
      </rPr>
      <t>1</t>
    </r>
    <r>
      <rPr>
        <sz val="11"/>
        <color theme="1"/>
        <rFont val="Times New Roman"/>
        <family val="1"/>
        <charset val="161"/>
      </rPr>
      <t xml:space="preserve"> Canis Major</t>
    </r>
  </si>
  <si>
    <t>Μικρός Κύων</t>
  </si>
  <si>
    <t xml:space="preserve">κμι </t>
  </si>
  <si>
    <t>Μικρός</t>
  </si>
  <si>
    <t>Canis Minor</t>
  </si>
  <si>
    <t>CMi</t>
  </si>
  <si>
    <t>Μικρού Κύνα</t>
  </si>
  <si>
    <t>κμι α</t>
  </si>
  <si>
    <t>α Μικρού Κυνα. Προκύων</t>
  </si>
  <si>
    <t>α Canis Minor. Προκύων</t>
  </si>
  <si>
    <t>κμι β</t>
  </si>
  <si>
    <t>β Μικρού Κυνα</t>
  </si>
  <si>
    <t>β Canis Minor</t>
  </si>
  <si>
    <t>κμι γ</t>
  </si>
  <si>
    <t>γ Μικρού Κυνα</t>
  </si>
  <si>
    <t>γ Canis Minor</t>
  </si>
  <si>
    <t>Κόμη Βερενίκης</t>
  </si>
  <si>
    <t xml:space="preserve">κομ </t>
  </si>
  <si>
    <t>Κόμη</t>
  </si>
  <si>
    <t>Βερενίκης</t>
  </si>
  <si>
    <t>Coma</t>
  </si>
  <si>
    <t>Beronices</t>
  </si>
  <si>
    <t>Com</t>
  </si>
  <si>
    <t>Κόμης Βερενίκης</t>
  </si>
  <si>
    <t>Coma Beronices</t>
  </si>
  <si>
    <t>κομ α</t>
  </si>
  <si>
    <t>α Κόμης Βερενίκης. Διπλός</t>
  </si>
  <si>
    <t>α Coma Beronices. Διπλός</t>
  </si>
  <si>
    <t>κομ β</t>
  </si>
  <si>
    <t>β Κόμης Βερενίκης</t>
  </si>
  <si>
    <t>β Coma Beronices</t>
  </si>
  <si>
    <t>κομ γ</t>
  </si>
  <si>
    <t>γ Κόμης Βερενίκης</t>
  </si>
  <si>
    <t>γ Coma Beronices</t>
  </si>
  <si>
    <t>Κόρακας</t>
  </si>
  <si>
    <t xml:space="preserve">κορ </t>
  </si>
  <si>
    <t>Corvus</t>
  </si>
  <si>
    <t>Crv</t>
  </si>
  <si>
    <t>Κόρακα</t>
  </si>
  <si>
    <t>κορ α</t>
  </si>
  <si>
    <t>α Κόρακα</t>
  </si>
  <si>
    <t>α Corvus</t>
  </si>
  <si>
    <t>κορ β</t>
  </si>
  <si>
    <t>β Κόρακα</t>
  </si>
  <si>
    <t>β Corvus</t>
  </si>
  <si>
    <t>κορ γ</t>
  </si>
  <si>
    <t>γ Κόρακα</t>
  </si>
  <si>
    <t>γ Corvus</t>
  </si>
  <si>
    <t>κορ δ</t>
  </si>
  <si>
    <t>δ Κόρακα</t>
  </si>
  <si>
    <t>δ Corvus</t>
  </si>
  <si>
    <t>κορ ε</t>
  </si>
  <si>
    <t>εΚόρακα</t>
  </si>
  <si>
    <t>ε Corvus</t>
  </si>
  <si>
    <t>Κρατήρ</t>
  </si>
  <si>
    <t xml:space="preserve">κρα </t>
  </si>
  <si>
    <t>Crater</t>
  </si>
  <si>
    <t>Crt</t>
  </si>
  <si>
    <t>Κρατήρος</t>
  </si>
  <si>
    <t>Κριός</t>
  </si>
  <si>
    <t xml:space="preserve">κρι </t>
  </si>
  <si>
    <t>Aries</t>
  </si>
  <si>
    <t>Ari</t>
  </si>
  <si>
    <t>Κριού</t>
  </si>
  <si>
    <t>κρι 41</t>
  </si>
  <si>
    <t>41 Κριού</t>
  </si>
  <si>
    <t>41 Aries</t>
  </si>
  <si>
    <t>κρι α</t>
  </si>
  <si>
    <t>α Κριού</t>
  </si>
  <si>
    <t>α Aries</t>
  </si>
  <si>
    <t>κρι β</t>
  </si>
  <si>
    <t>β Κριού</t>
  </si>
  <si>
    <t>β Aries</t>
  </si>
  <si>
    <t>κρι γ</t>
  </si>
  <si>
    <t>γ Κριού Διπλός</t>
  </si>
  <si>
    <t>γ Aries Διπλός</t>
  </si>
  <si>
    <t>Θηρευτικοί Κύνες</t>
  </si>
  <si>
    <t xml:space="preserve">κυθ </t>
  </si>
  <si>
    <t>Θηρευτικοί</t>
  </si>
  <si>
    <t>Κύνες</t>
  </si>
  <si>
    <t>Canes Venatici</t>
  </si>
  <si>
    <t>CVn</t>
  </si>
  <si>
    <t>Θηρευτικοί κύνες</t>
  </si>
  <si>
    <t>κυθ α</t>
  </si>
  <si>
    <t>Καρδιά Καρόλου. Διπλός</t>
  </si>
  <si>
    <t>Cor Caroli</t>
  </si>
  <si>
    <t>κυθ β</t>
  </si>
  <si>
    <t>β Θηρευτικοί κύνες</t>
  </si>
  <si>
    <t>β Canes Venatici</t>
  </si>
  <si>
    <t>Κύκνος</t>
  </si>
  <si>
    <t xml:space="preserve">κυκ </t>
  </si>
  <si>
    <t>Cygnus</t>
  </si>
  <si>
    <t>Cyg</t>
  </si>
  <si>
    <t>Κύκνου</t>
  </si>
  <si>
    <t>κυκ 52</t>
  </si>
  <si>
    <t>52 Κύκνου</t>
  </si>
  <si>
    <t>52 Cygnus</t>
  </si>
  <si>
    <t>κυκ 61</t>
  </si>
  <si>
    <t>61 Κύκνου. Διπλός</t>
  </si>
  <si>
    <t>61 Cygnus. Διπλός</t>
  </si>
  <si>
    <t>κυκ α</t>
  </si>
  <si>
    <t>Deneb</t>
  </si>
  <si>
    <t>α Cygnus</t>
  </si>
  <si>
    <t>κυκ β</t>
  </si>
  <si>
    <t>Albireo. Διπλός</t>
  </si>
  <si>
    <t>β Cygnus. Διπλός</t>
  </si>
  <si>
    <t>κυκ γ</t>
  </si>
  <si>
    <t>γ Κύκνου</t>
  </si>
  <si>
    <t>γ Cygnus</t>
  </si>
  <si>
    <t>κυκ δ</t>
  </si>
  <si>
    <t>δ Κύκνου</t>
  </si>
  <si>
    <t>δ Cygnus</t>
  </si>
  <si>
    <t>κυκ ε</t>
  </si>
  <si>
    <t>ε Κύκνου. Διπλός</t>
  </si>
  <si>
    <t>ε Cygnus. Διπλός</t>
  </si>
  <si>
    <t>κυκ ζ</t>
  </si>
  <si>
    <t>ζ Κύκνου</t>
  </si>
  <si>
    <t>ζ Cygnus</t>
  </si>
  <si>
    <t>κυκ η</t>
  </si>
  <si>
    <t>η Κύκνου</t>
  </si>
  <si>
    <t>η Cygnus</t>
  </si>
  <si>
    <t>κυκ ι</t>
  </si>
  <si>
    <t>ι Κύκνου</t>
  </si>
  <si>
    <t>ι Cygnus</t>
  </si>
  <si>
    <t>κυκ κ</t>
  </si>
  <si>
    <t>κ Κύκνου</t>
  </si>
  <si>
    <t>κ Cygnus</t>
  </si>
  <si>
    <t>κυκ ν</t>
  </si>
  <si>
    <t>ν Κύκνου. Διπλός</t>
  </si>
  <si>
    <t>ν Cygnus. Διπλός</t>
  </si>
  <si>
    <t>κυκ ξ</t>
  </si>
  <si>
    <t>ξ Κύκνου</t>
  </si>
  <si>
    <t>ξ Cygnus</t>
  </si>
  <si>
    <t>κυκ ο1</t>
  </si>
  <si>
    <r>
      <t>o</t>
    </r>
    <r>
      <rPr>
        <sz val="8"/>
        <color theme="1"/>
        <rFont val="Times New Roman"/>
        <family val="1"/>
        <charset val="161"/>
      </rPr>
      <t>1</t>
    </r>
    <r>
      <rPr>
        <sz val="11"/>
        <color theme="1"/>
        <rFont val="Times New Roman"/>
        <family val="1"/>
        <charset val="161"/>
      </rPr>
      <t xml:space="preserve"> Κύκνου. Διπλός</t>
    </r>
  </si>
  <si>
    <r>
      <t>o</t>
    </r>
    <r>
      <rPr>
        <sz val="8"/>
        <color theme="1"/>
        <rFont val="Times New Roman"/>
        <family val="1"/>
        <charset val="161"/>
      </rPr>
      <t>1</t>
    </r>
    <r>
      <rPr>
        <sz val="11"/>
        <color theme="1"/>
        <rFont val="Times New Roman"/>
        <family val="1"/>
        <charset val="161"/>
      </rPr>
      <t xml:space="preserve"> Cygnus. Διπλός</t>
    </r>
  </si>
  <si>
    <t>κυκ ο2</t>
  </si>
  <si>
    <r>
      <t>o</t>
    </r>
    <r>
      <rPr>
        <sz val="8"/>
        <color theme="1"/>
        <rFont val="Times New Roman"/>
        <family val="1"/>
        <charset val="161"/>
      </rPr>
      <t>2</t>
    </r>
    <r>
      <rPr>
        <sz val="11"/>
        <color theme="1"/>
        <rFont val="Times New Roman"/>
        <family val="1"/>
        <charset val="161"/>
      </rPr>
      <t xml:space="preserve"> Κύκνου</t>
    </r>
  </si>
  <si>
    <r>
      <t>o</t>
    </r>
    <r>
      <rPr>
        <sz val="8"/>
        <color theme="1"/>
        <rFont val="Times New Roman"/>
        <family val="1"/>
        <charset val="161"/>
      </rPr>
      <t>2</t>
    </r>
    <r>
      <rPr>
        <sz val="11"/>
        <color theme="1"/>
        <rFont val="Times New Roman"/>
        <family val="1"/>
        <charset val="161"/>
      </rPr>
      <t xml:space="preserve"> Cygnus</t>
    </r>
  </si>
  <si>
    <t>κυκ σ</t>
  </si>
  <si>
    <t>σ Κύκνου</t>
  </si>
  <si>
    <t>σ Cygnus</t>
  </si>
  <si>
    <t>κυκ τ</t>
  </si>
  <si>
    <t>τ Κύκνου</t>
  </si>
  <si>
    <t>τ Cygnus</t>
  </si>
  <si>
    <t>Λαγός</t>
  </si>
  <si>
    <t xml:space="preserve">λαγ </t>
  </si>
  <si>
    <t>Lepus</t>
  </si>
  <si>
    <t>Lep</t>
  </si>
  <si>
    <t>Λαγού</t>
  </si>
  <si>
    <t>λαγ α</t>
  </si>
  <si>
    <t>α Λαγού</t>
  </si>
  <si>
    <t>α Lepus</t>
  </si>
  <si>
    <t>λαγ β</t>
  </si>
  <si>
    <t>β Λαγού. Διπλός</t>
  </si>
  <si>
    <t>β Lepus. Διπλός</t>
  </si>
  <si>
    <t>λαγ γ</t>
  </si>
  <si>
    <t>γ Λαγού. Οπτικά Διπλός</t>
  </si>
  <si>
    <t>γ Lepus. Οπτικά Διπλός</t>
  </si>
  <si>
    <t>λαγ δ</t>
  </si>
  <si>
    <t>δ Λαγού</t>
  </si>
  <si>
    <t>δ Lepus</t>
  </si>
  <si>
    <t>λαγ ε</t>
  </si>
  <si>
    <t>ε Λαγού</t>
  </si>
  <si>
    <t>ε Lepus</t>
  </si>
  <si>
    <t>λαγ ζ</t>
  </si>
  <si>
    <t>ζ Λαγού</t>
  </si>
  <si>
    <t>ζ Lepus</t>
  </si>
  <si>
    <t>λαγ η</t>
  </si>
  <si>
    <t>η Λαγού</t>
  </si>
  <si>
    <t>η Lepus</t>
  </si>
  <si>
    <t>λαγ μ</t>
  </si>
  <si>
    <t>μ Λαγού</t>
  </si>
  <si>
    <t>μ Lepus</t>
  </si>
  <si>
    <t>Λέων</t>
  </si>
  <si>
    <t xml:space="preserve">λεω </t>
  </si>
  <si>
    <t>Leo</t>
  </si>
  <si>
    <t>Λέοντος</t>
  </si>
  <si>
    <t>λεω α</t>
  </si>
  <si>
    <t xml:space="preserve">α Λέοντος Βασιλίσκος. Διπλός </t>
  </si>
  <si>
    <t xml:space="preserve">α Leo. Διπλός Regulus </t>
  </si>
  <si>
    <t>λεω β</t>
  </si>
  <si>
    <t>β Λέοντος</t>
  </si>
  <si>
    <t>β Leo</t>
  </si>
  <si>
    <t>λεω γ</t>
  </si>
  <si>
    <t>γ Λέοντος. Διπλός</t>
  </si>
  <si>
    <t>γ Leo. Διπλός</t>
  </si>
  <si>
    <t>λεω δ</t>
  </si>
  <si>
    <t>δ Λέοντος</t>
  </si>
  <si>
    <t>δ Leo</t>
  </si>
  <si>
    <t>λεω ε</t>
  </si>
  <si>
    <t>ε Λέοντος</t>
  </si>
  <si>
    <t>ε Leo</t>
  </si>
  <si>
    <t>λεω ζ</t>
  </si>
  <si>
    <t>ζ Λέοντος</t>
  </si>
  <si>
    <t>ζ Leo</t>
  </si>
  <si>
    <t>λεω η</t>
  </si>
  <si>
    <t>η Λέοντος</t>
  </si>
  <si>
    <t>η Leo</t>
  </si>
  <si>
    <t>λεω θ</t>
  </si>
  <si>
    <t>θ Λέοντος</t>
  </si>
  <si>
    <t>θ Leo</t>
  </si>
  <si>
    <t>λεω ι</t>
  </si>
  <si>
    <t>ι Λέοντος</t>
  </si>
  <si>
    <t>ι Leo</t>
  </si>
  <si>
    <t>λεω λ</t>
  </si>
  <si>
    <t>λ Λέοντος</t>
  </si>
  <si>
    <t>λ Leo</t>
  </si>
  <si>
    <t>λεω μ</t>
  </si>
  <si>
    <t>μ Λέοντος</t>
  </si>
  <si>
    <t>μ Leo</t>
  </si>
  <si>
    <t>λεω ν</t>
  </si>
  <si>
    <t>ν Λέοντος</t>
  </si>
  <si>
    <t>ν Leo</t>
  </si>
  <si>
    <t>λεω ρ</t>
  </si>
  <si>
    <t>ρ Λέοντος</t>
  </si>
  <si>
    <t>ρ Leo</t>
  </si>
  <si>
    <t>λεω σ</t>
  </si>
  <si>
    <t>σ Λέοντος</t>
  </si>
  <si>
    <t>σ Leo</t>
  </si>
  <si>
    <t>Μικρός Λέων</t>
  </si>
  <si>
    <t xml:space="preserve">λμι </t>
  </si>
  <si>
    <t>Minor</t>
  </si>
  <si>
    <t>LMi</t>
  </si>
  <si>
    <t>Μικρού Λέοντα</t>
  </si>
  <si>
    <t>Leo Minor</t>
  </si>
  <si>
    <t>λμι 10</t>
  </si>
  <si>
    <t>10 Μικρού Λέοντα</t>
  </si>
  <si>
    <t>10 Leo Minor</t>
  </si>
  <si>
    <t>λμι 21</t>
  </si>
  <si>
    <t>21 Μικρού Λέοντα</t>
  </si>
  <si>
    <t>21 Leo Minor</t>
  </si>
  <si>
    <t>λμι 46</t>
  </si>
  <si>
    <t>46 Μικρού Λέοντα</t>
  </si>
  <si>
    <t>46 Leo Minor</t>
  </si>
  <si>
    <t>λμι β</t>
  </si>
  <si>
    <t>β Μικρού Λέοντα</t>
  </si>
  <si>
    <t>β Leo Minor</t>
  </si>
  <si>
    <t>Λύγκας</t>
  </si>
  <si>
    <t xml:space="preserve">λυγ </t>
  </si>
  <si>
    <t>Lynx</t>
  </si>
  <si>
    <t>Lyn</t>
  </si>
  <si>
    <t>Λύγκα</t>
  </si>
  <si>
    <t>λυγ α</t>
  </si>
  <si>
    <t xml:space="preserve">α Λύγκα </t>
  </si>
  <si>
    <t>α Lynx</t>
  </si>
  <si>
    <t>Λύκος</t>
  </si>
  <si>
    <t xml:space="preserve">λυκ </t>
  </si>
  <si>
    <t>Lupus</t>
  </si>
  <si>
    <t>Lup</t>
  </si>
  <si>
    <t>Λύκου</t>
  </si>
  <si>
    <t>Λύρα</t>
  </si>
  <si>
    <t xml:space="preserve">λυρ </t>
  </si>
  <si>
    <t>Lyra</t>
  </si>
  <si>
    <t>Lyr</t>
  </si>
  <si>
    <t>Λύρας</t>
  </si>
  <si>
    <t>λυρ α</t>
  </si>
  <si>
    <t>α Λύρας. Βέγας</t>
  </si>
  <si>
    <t>α Lyra.Vega</t>
  </si>
  <si>
    <t>λυρ β</t>
  </si>
  <si>
    <t>β Λύρας</t>
  </si>
  <si>
    <t>β Lyra</t>
  </si>
  <si>
    <t>λυρ γ</t>
  </si>
  <si>
    <t>γ Λύρας</t>
  </si>
  <si>
    <t>γ Lyra</t>
  </si>
  <si>
    <t>λυρ δ</t>
  </si>
  <si>
    <t>δ Λύρας. Διπλός</t>
  </si>
  <si>
    <t>δ Lyra. Διπλός</t>
  </si>
  <si>
    <t>λυρ ε</t>
  </si>
  <si>
    <t>ε Λύρας. Διπλά διπλός</t>
  </si>
  <si>
    <t>ε Lyra. Διπλά διπλός</t>
  </si>
  <si>
    <t>λυρ ζ</t>
  </si>
  <si>
    <t>ζ Λύρας. Διπλός</t>
  </si>
  <si>
    <t>ζ Lyra. Διπλός</t>
  </si>
  <si>
    <t>λυρ η</t>
  </si>
  <si>
    <t>η Λύρας</t>
  </si>
  <si>
    <t>η Lyra</t>
  </si>
  <si>
    <t>λυρ θ</t>
  </si>
  <si>
    <t>θ Λύρας</t>
  </si>
  <si>
    <t>θ Lyra</t>
  </si>
  <si>
    <t xml:space="preserve">μ </t>
  </si>
  <si>
    <t xml:space="preserve">        M</t>
  </si>
  <si>
    <t>Messier</t>
  </si>
  <si>
    <t>μ 001</t>
  </si>
  <si>
    <t>M1 Πλανητικό Νεφέλωμα Καρκίνος</t>
  </si>
  <si>
    <t>Μ1 Crab Nebula 6.000 Ly</t>
  </si>
  <si>
    <t>μ 002</t>
  </si>
  <si>
    <t>M2. Σφαιρωτό σμήνος</t>
  </si>
  <si>
    <t>M 2. 35.000 Ly</t>
  </si>
  <si>
    <t>μ 003</t>
  </si>
  <si>
    <t>M3. Σφαιρωτό σμήνος</t>
  </si>
  <si>
    <t>M 3.  34.000 LY</t>
  </si>
  <si>
    <t>μ 004</t>
  </si>
  <si>
    <t xml:space="preserve">M4. Σφαιρωτό σμήνος </t>
  </si>
  <si>
    <t>Μ4. 7.200 LY</t>
  </si>
  <si>
    <t>μ 005</t>
  </si>
  <si>
    <t xml:space="preserve">Μ5. Σφαιρωτό Σμήνος     </t>
  </si>
  <si>
    <t>M5. 24.500 Ly</t>
  </si>
  <si>
    <t>μ 006</t>
  </si>
  <si>
    <t>M6. Ανοιχτό Σμήνος</t>
  </si>
  <si>
    <t>Σμήνος πεταλούδα 1.600 LY</t>
  </si>
  <si>
    <t>μ 007</t>
  </si>
  <si>
    <t>M7. Ανοιχτό Σμήνος</t>
  </si>
  <si>
    <t>To  σμήνος του Πτολεμαίου 800 LY</t>
  </si>
  <si>
    <t>μ 008</t>
  </si>
  <si>
    <t>M8 Νεφέλωμα Λιμνοθάλασσα</t>
  </si>
  <si>
    <t>Μ8 Lagoon 5.200 Ly</t>
  </si>
  <si>
    <t>μ 009</t>
  </si>
  <si>
    <t>M9.Σφαιρωτό σμήνος</t>
  </si>
  <si>
    <t xml:space="preserve">M9 2.600 Ly </t>
  </si>
  <si>
    <t>μ 010</t>
  </si>
  <si>
    <t>M10.Σφαιρωτό σμήνος</t>
  </si>
  <si>
    <t xml:space="preserve">M 10.  14.000 Ly </t>
  </si>
  <si>
    <t>μ 011</t>
  </si>
  <si>
    <t>M11. Ανοιχτό Σμήνος</t>
  </si>
  <si>
    <t>M11. Σμήνος της αγριόπαπιας. 6200 Ly</t>
  </si>
  <si>
    <t>μ 012</t>
  </si>
  <si>
    <t>M12 .Σφαιρωτό Σμήνος</t>
  </si>
  <si>
    <t>M12 15.700 Ly</t>
  </si>
  <si>
    <t>μ 013</t>
  </si>
  <si>
    <t>M13.Σφαιρωτό Σμήνος</t>
  </si>
  <si>
    <t>M13  25.100 LY</t>
  </si>
  <si>
    <t>μ 014</t>
  </si>
  <si>
    <t>M14.Σφαιρωτό Σμήνος</t>
  </si>
  <si>
    <t>M14 30.300 Ly</t>
  </si>
  <si>
    <t>μ 015</t>
  </si>
  <si>
    <t xml:space="preserve">Μ15.Σφαιρωτό Σμήνος </t>
  </si>
  <si>
    <t>Μ15 33.600 Ly</t>
  </si>
  <si>
    <t>μ 016</t>
  </si>
  <si>
    <t>M16 Νεφέλωμα Αετός</t>
  </si>
  <si>
    <t>M16 7.000 Ly</t>
  </si>
  <si>
    <t>μ 017</t>
  </si>
  <si>
    <t>M17 Νεφέλωμα Κύκνος ή Ωμέγα</t>
  </si>
  <si>
    <t>M17 5.500</t>
  </si>
  <si>
    <t>μ 018</t>
  </si>
  <si>
    <t>Μ18. Ανοιχτό Σμήνος</t>
  </si>
  <si>
    <t>M18 4.900 Ly</t>
  </si>
  <si>
    <t>μ 019</t>
  </si>
  <si>
    <t>M19.Σφαιρωτό Σμήνος</t>
  </si>
  <si>
    <t>M19 28.000</t>
  </si>
  <si>
    <t>μ 020</t>
  </si>
  <si>
    <t>M20 Τρισχιδές ή Τριφυλλιού</t>
  </si>
  <si>
    <t>M20 6000 Ly</t>
  </si>
  <si>
    <t>μ 021</t>
  </si>
  <si>
    <t>M21. Ανοιχτό Σμήνος</t>
  </si>
  <si>
    <t>M21 4.250 Ly</t>
  </si>
  <si>
    <t>μ 022</t>
  </si>
  <si>
    <t>M22.Σφαιρωτό Σμήνος</t>
  </si>
  <si>
    <t>M22 10.600 Ly</t>
  </si>
  <si>
    <t>μ 023</t>
  </si>
  <si>
    <t>Μ23. Ανοιχτό Σμήνος.Σφαιρωτό Σμήνος</t>
  </si>
  <si>
    <t>M23 2.150</t>
  </si>
  <si>
    <t>μ 024</t>
  </si>
  <si>
    <t>Μ24. Αστρικό Νέφος!!!</t>
  </si>
  <si>
    <t>Πολλά αντικείμενα! 10.000 Ly</t>
  </si>
  <si>
    <t>μ 025</t>
  </si>
  <si>
    <t>Μ25. Ανοιχτό Σμήνος</t>
  </si>
  <si>
    <t>M25 2.000 Ly</t>
  </si>
  <si>
    <t>μ 026</t>
  </si>
  <si>
    <t>M26. Ανοιχτό Σμήνος</t>
  </si>
  <si>
    <t>M26 5.000 Ly</t>
  </si>
  <si>
    <t>μ 027</t>
  </si>
  <si>
    <t>Μ27 Πλανητικό Νεφέλωμα Αλτήρας</t>
  </si>
  <si>
    <t>Μ27 The Dumbbell Nebula  5.000 Ly</t>
  </si>
  <si>
    <t>μ 028</t>
  </si>
  <si>
    <t>M28. Σφαιρωτό Σμήνος</t>
  </si>
  <si>
    <t>M28 17.900 Ly</t>
  </si>
  <si>
    <t>μ 029</t>
  </si>
  <si>
    <t>Μ29. Ανοιχτό Σμήνος</t>
  </si>
  <si>
    <t>Μ29 4.000-7.000 Ly</t>
  </si>
  <si>
    <t>μ 030</t>
  </si>
  <si>
    <t>M30. Σφαιρωτό Σμήνος</t>
  </si>
  <si>
    <t xml:space="preserve">M30 </t>
  </si>
  <si>
    <t>μ 031</t>
  </si>
  <si>
    <t xml:space="preserve">Μ31-3,5 O Γαλαξίας της Ανδρομέδας </t>
  </si>
  <si>
    <t>2,4 Mly Γαλαξίας της Ανδρομέδας</t>
  </si>
  <si>
    <t>μ 033</t>
  </si>
  <si>
    <t>Μ 33-5,5 Γαλαξίας</t>
  </si>
  <si>
    <t>3 Mly Γαλαξίας του Τριγώνου</t>
  </si>
  <si>
    <t>μ 035</t>
  </si>
  <si>
    <t>Μ35. Ανοιχτό Σμήνος</t>
  </si>
  <si>
    <t>Μ35 2.800 Ly</t>
  </si>
  <si>
    <t>μ 036</t>
  </si>
  <si>
    <t>Μ36. Ανοιχτό Σμήνος</t>
  </si>
  <si>
    <t>M36 4.100 Ly</t>
  </si>
  <si>
    <t>μ 037</t>
  </si>
  <si>
    <t>Μ37. Ανοιχτό Σμήνος</t>
  </si>
  <si>
    <t xml:space="preserve">M37 4.500 Ly </t>
  </si>
  <si>
    <t>μ 038</t>
  </si>
  <si>
    <t>Μ38. Ανοιχτό Σμήνος</t>
  </si>
  <si>
    <t>M38 4.200 Ly</t>
  </si>
  <si>
    <t>μ 039</t>
  </si>
  <si>
    <t>Μ39. Ανοιχτό Σμήνος</t>
  </si>
  <si>
    <t>M39 800 Ly</t>
  </si>
  <si>
    <t>μ 041</t>
  </si>
  <si>
    <t>Μ41. Ανοιχτό Σμήνος</t>
  </si>
  <si>
    <t>M41 2.300 Ly</t>
  </si>
  <si>
    <t>μ 042</t>
  </si>
  <si>
    <t xml:space="preserve">Μ42 Μέγα Νεφέλωμα του Ωρίωνα </t>
  </si>
  <si>
    <t>M42 1.340 Ly</t>
  </si>
  <si>
    <t>μ 044</t>
  </si>
  <si>
    <t xml:space="preserve">Μ44. Ανοιχτό Σμήνος. Φάτνη ή Κυψέλη </t>
  </si>
  <si>
    <t>M44 550 Ly</t>
  </si>
  <si>
    <t>μ 046</t>
  </si>
  <si>
    <t>Μ46. Ανοιχτό Σμήνος</t>
  </si>
  <si>
    <t>M46 5.400 Ly</t>
  </si>
  <si>
    <t>μ 047</t>
  </si>
  <si>
    <t>Μ47. Ανοιχτό Σμήνος</t>
  </si>
  <si>
    <t>M47 1.600 Ly</t>
  </si>
  <si>
    <t>μ 048</t>
  </si>
  <si>
    <t>Μ48. Ανοιχτό Σμήνος</t>
  </si>
  <si>
    <t>M48 1.500 Ly</t>
  </si>
  <si>
    <t>μ 049</t>
  </si>
  <si>
    <t>M49 - 8,3 Γαλαξίας</t>
  </si>
  <si>
    <t>M49 56 Mly</t>
  </si>
  <si>
    <t>μ 050</t>
  </si>
  <si>
    <t>Μ50. Ανοιχτό Σμήνος</t>
  </si>
  <si>
    <t>M50 3.000 Ly</t>
  </si>
  <si>
    <t>μ 051</t>
  </si>
  <si>
    <t>M51 - 8,1 Γαλαξίας της δίνης</t>
  </si>
  <si>
    <t>M51 Whirlpool galaxy 23 Mly</t>
  </si>
  <si>
    <t>μ 053</t>
  </si>
  <si>
    <t>M53. Σφαιρωτό σμήνος</t>
  </si>
  <si>
    <t>M53 60.000 Ly</t>
  </si>
  <si>
    <t>μ 054</t>
  </si>
  <si>
    <t>M54. Σφαιρωτό σμήνος</t>
  </si>
  <si>
    <t>M54 87.500 Ly</t>
  </si>
  <si>
    <t>μ 055</t>
  </si>
  <si>
    <t>M55. Σφαιρωτό σμήνος</t>
  </si>
  <si>
    <t>M55 17.600 Ly</t>
  </si>
  <si>
    <t>μ 056</t>
  </si>
  <si>
    <t>Μ56. Σφαιρωτό σμήνος</t>
  </si>
  <si>
    <t>Μ56 32.900 Ly</t>
  </si>
  <si>
    <t>μ 057</t>
  </si>
  <si>
    <t>μ 058</t>
  </si>
  <si>
    <t>M58- 9,6 Γαλαξίας</t>
  </si>
  <si>
    <t>M58 68 Mly</t>
  </si>
  <si>
    <t>μ 059</t>
  </si>
  <si>
    <t>M59- 9,7 Γαλαξίας</t>
  </si>
  <si>
    <t>M59 60 Mly</t>
  </si>
  <si>
    <t>μ 060</t>
  </si>
  <si>
    <t>M60- 8,8 Γαλαξίας</t>
  </si>
  <si>
    <t>M60 60 Mly</t>
  </si>
  <si>
    <t>μ 061</t>
  </si>
  <si>
    <t>M61- 9,3 Γαλαξίας</t>
  </si>
  <si>
    <t>M61 60 Mly</t>
  </si>
  <si>
    <t>μ 062</t>
  </si>
  <si>
    <t>M62. Σφαιρωτό σμήνος</t>
  </si>
  <si>
    <t>M62 22.500 Ly</t>
  </si>
  <si>
    <t>μ 063</t>
  </si>
  <si>
    <t>M63- 8,5 Γαλαξίας</t>
  </si>
  <si>
    <t>M63 27 Mly</t>
  </si>
  <si>
    <t>μ 064</t>
  </si>
  <si>
    <t>M64- 8,5 Γαλαξίας Μαύρο μάτι</t>
  </si>
  <si>
    <t>M64 Black Eye Galaxy 24 Mly</t>
  </si>
  <si>
    <t>μ 065</t>
  </si>
  <si>
    <t>M65- 9,2 Γαλαξίας</t>
  </si>
  <si>
    <t>M65 35 Mly</t>
  </si>
  <si>
    <t>μ 066</t>
  </si>
  <si>
    <t>M66- 8,9 Γαλαξίας</t>
  </si>
  <si>
    <t>M66 36 Mly</t>
  </si>
  <si>
    <t>μ 067</t>
  </si>
  <si>
    <t>Μ67. Ανοιχτό Σμήνος</t>
  </si>
  <si>
    <t>M67 2.610 Ly</t>
  </si>
  <si>
    <t>μ 068</t>
  </si>
  <si>
    <t>M68. Σφαιρωτό σμήνος</t>
  </si>
  <si>
    <t>M68 33.600 Ly</t>
  </si>
  <si>
    <t>μ 069</t>
  </si>
  <si>
    <t>M69. Σφαιρωτό σμήνος</t>
  </si>
  <si>
    <t>M69 29.700 Ly</t>
  </si>
  <si>
    <t>μ 070</t>
  </si>
  <si>
    <t>M70. Σφαιρωτό σμήνος</t>
  </si>
  <si>
    <t>M70 29.300 Ly</t>
  </si>
  <si>
    <t>μ 071</t>
  </si>
  <si>
    <t>Μ71. Σφαιρωτό σμήνος</t>
  </si>
  <si>
    <t>Μ71 13.000 Ly</t>
  </si>
  <si>
    <t>μ 072</t>
  </si>
  <si>
    <t>M72. Σφαιρωτό σμήνος</t>
  </si>
  <si>
    <t>M72 55.000 Ly</t>
  </si>
  <si>
    <t>μ 073</t>
  </si>
  <si>
    <t>M73 σχηματισμός 4 αστέρων</t>
  </si>
  <si>
    <t xml:space="preserve">M73 2.500 Λυ </t>
  </si>
  <si>
    <t>μ 074</t>
  </si>
  <si>
    <t>Μ74-9,1 Γαλαξίας</t>
  </si>
  <si>
    <t>Μ74 32 Mly</t>
  </si>
  <si>
    <t>μ 075</t>
  </si>
  <si>
    <t>M75. Σφαιρωτό σμήνος</t>
  </si>
  <si>
    <t>M75 67.500 Ly</t>
  </si>
  <si>
    <t>μ 076</t>
  </si>
  <si>
    <t xml:space="preserve">M76. Πλανητικό Νεφέλωμα μικρός αλτήρας </t>
  </si>
  <si>
    <t>Μ76  Little Dumbbell Nebula 2.500 Ly</t>
  </si>
  <si>
    <t>μ 077</t>
  </si>
  <si>
    <t>Μ77-8,9 Γαλαξίας</t>
  </si>
  <si>
    <t>M77 47 Mly</t>
  </si>
  <si>
    <t>μ 078</t>
  </si>
  <si>
    <t>Μ78 Νεφέλωμα Ανάκλασης</t>
  </si>
  <si>
    <t>M78 1.500 Ly</t>
  </si>
  <si>
    <t>μ 079</t>
  </si>
  <si>
    <t>Μ79 Σφαιρωτό Σμήνος</t>
  </si>
  <si>
    <t>Σμήνος 42.000 Mly</t>
  </si>
  <si>
    <t>μ 080</t>
  </si>
  <si>
    <t>M80. Σφαιρωτό σμήνος</t>
  </si>
  <si>
    <t>M80 32.600 Ly</t>
  </si>
  <si>
    <t>μ 081</t>
  </si>
  <si>
    <t>M81-7 Γαλαξίας</t>
  </si>
  <si>
    <t>M81 12 Mly</t>
  </si>
  <si>
    <t>μ 083</t>
  </si>
  <si>
    <t xml:space="preserve">M83-7,5 Γαλαξίας </t>
  </si>
  <si>
    <t>M83 15 Mly</t>
  </si>
  <si>
    <t>μ 084</t>
  </si>
  <si>
    <t>M84- 9,2 Γαλαξίας</t>
  </si>
  <si>
    <t>M84 60 Mly</t>
  </si>
  <si>
    <t>μ 085</t>
  </si>
  <si>
    <t>Μ85- 9,1 Γαλαξίας</t>
  </si>
  <si>
    <t xml:space="preserve">M84 60 Mly Pierre Mechain </t>
  </si>
  <si>
    <t>μ 086</t>
  </si>
  <si>
    <t>M86- 8,9 Γαλαξίας</t>
  </si>
  <si>
    <t>M86 60 Mly</t>
  </si>
  <si>
    <t>μ 087</t>
  </si>
  <si>
    <t>M87-8,6 Γαλαξίας</t>
  </si>
  <si>
    <t>M87 53,5 Miy</t>
  </si>
  <si>
    <t>μ 088</t>
  </si>
  <si>
    <t>M88- 9,4 Γαλαξίας</t>
  </si>
  <si>
    <t>M88 60 Miy</t>
  </si>
  <si>
    <t>μ 089</t>
  </si>
  <si>
    <t>M89- 9,9 Γαλαξίας</t>
  </si>
  <si>
    <t>M89 50 Miy</t>
  </si>
  <si>
    <t>μ 090</t>
  </si>
  <si>
    <t>M90- 9,4 Γαλαξίας</t>
  </si>
  <si>
    <t>M90 60 Miy</t>
  </si>
  <si>
    <t>μ 091</t>
  </si>
  <si>
    <t>M91- 10 Γαλαξίας</t>
  </si>
  <si>
    <t>M91 55 Miy</t>
  </si>
  <si>
    <t>μ 092</t>
  </si>
  <si>
    <t>M92. Σφαιρωτό σμήνος</t>
  </si>
  <si>
    <t>M92 26.700 Ly</t>
  </si>
  <si>
    <t>μ 093</t>
  </si>
  <si>
    <t>Μ93. Ανοιχτό Σμήνος</t>
  </si>
  <si>
    <t>M93 3.600</t>
  </si>
  <si>
    <t>μ 094</t>
  </si>
  <si>
    <t>M94-8,1 Γαλαξίας</t>
  </si>
  <si>
    <t>M94 16 Mly</t>
  </si>
  <si>
    <t>μ 095</t>
  </si>
  <si>
    <t>M95-9,8 Γαλαξίας</t>
  </si>
  <si>
    <t>M95 38 Mly</t>
  </si>
  <si>
    <t>μ 096</t>
  </si>
  <si>
    <t>M96-9,3 Γαλαξίας</t>
  </si>
  <si>
    <t>M 96 35 Mly</t>
  </si>
  <si>
    <t>μ 097</t>
  </si>
  <si>
    <t>M97 Πλανητικό Νεφέλωμα Κουκουβάγια</t>
  </si>
  <si>
    <t xml:space="preserve">Μ97 Pierre François André Méchain 2.030 Ly </t>
  </si>
  <si>
    <t>μ 098</t>
  </si>
  <si>
    <t>M98-10,1 Γαλαξίας</t>
  </si>
  <si>
    <t>M98 44,4 Mly</t>
  </si>
  <si>
    <t>μ 099</t>
  </si>
  <si>
    <t>M99-10,2 Γαλαξίας</t>
  </si>
  <si>
    <t>M99 Pierre Mechain  55,7 Mly</t>
  </si>
  <si>
    <t>μ 100</t>
  </si>
  <si>
    <t>M100- 9,3 Γαλαξίας</t>
  </si>
  <si>
    <t>M100 52,5 Mly</t>
  </si>
  <si>
    <t>μ 101</t>
  </si>
  <si>
    <t>M101-7,5 Γαλαξίας</t>
  </si>
  <si>
    <t>M101 27 Mly</t>
  </si>
  <si>
    <t>μ 102</t>
  </si>
  <si>
    <t>M102-10,7 Γαλαξίας</t>
  </si>
  <si>
    <t>M102 Pierre Mechain 50 Mly</t>
  </si>
  <si>
    <t>μ 103</t>
  </si>
  <si>
    <t xml:space="preserve">Μ103. Ανοιχτό Σμήνος Κουκουβάγια </t>
  </si>
  <si>
    <t xml:space="preserve"> M103 9.000 Ly</t>
  </si>
  <si>
    <t>μ 104</t>
  </si>
  <si>
    <t>M104- 8,3 Γαλαξίας Σομπρέρο</t>
  </si>
  <si>
    <t>M104 Sombrero Galaxy 31 Mly</t>
  </si>
  <si>
    <t>μ 105</t>
  </si>
  <si>
    <t>M105- 9,5 Γαλαξίας</t>
  </si>
  <si>
    <t>M105 32 Mly</t>
  </si>
  <si>
    <t>μ 106</t>
  </si>
  <si>
    <t>M106- 8,3 Γαλαξία</t>
  </si>
  <si>
    <t>M106 Pierre Mechain 23,5 Mly</t>
  </si>
  <si>
    <t>μ 107</t>
  </si>
  <si>
    <t>M107. Σφαιρωτό σμήνος</t>
  </si>
  <si>
    <t>M107 20.900 Ly</t>
  </si>
  <si>
    <t>μ 108</t>
  </si>
  <si>
    <t>M108- 9,5 Γαλαξίας</t>
  </si>
  <si>
    <t>M108 Pierre Mechain 50 Mly</t>
  </si>
  <si>
    <t>μ 109</t>
  </si>
  <si>
    <t>M109- 9,8 Γαλαξίας</t>
  </si>
  <si>
    <t>M109 Pierre Mechain 83 Mly</t>
  </si>
  <si>
    <t>Μικροσκόπιον</t>
  </si>
  <si>
    <t xml:space="preserve">μικ </t>
  </si>
  <si>
    <t>Mikroskopium</t>
  </si>
  <si>
    <t>Mik</t>
  </si>
  <si>
    <t>Μικροσκοπίου</t>
  </si>
  <si>
    <t>Μονόκερος</t>
  </si>
  <si>
    <t xml:space="preserve">μον </t>
  </si>
  <si>
    <t>Monoceros</t>
  </si>
  <si>
    <t>Mon</t>
  </si>
  <si>
    <t>Μονόκερου</t>
  </si>
  <si>
    <t>μον α</t>
  </si>
  <si>
    <t>α Μονόκερου</t>
  </si>
  <si>
    <t>α Monoceros</t>
  </si>
  <si>
    <t>μον β</t>
  </si>
  <si>
    <t>β Μονόκερου.Τριπλός</t>
  </si>
  <si>
    <t>β Monoceros.Τριπλός</t>
  </si>
  <si>
    <t>μον γ</t>
  </si>
  <si>
    <t>γ Μονόκερου</t>
  </si>
  <si>
    <t>γ Monoceros</t>
  </si>
  <si>
    <t>μον δ</t>
  </si>
  <si>
    <t>δ Μονόκερου</t>
  </si>
  <si>
    <t>δ Monoceros</t>
  </si>
  <si>
    <t>μον ε</t>
  </si>
  <si>
    <t>ε Μονόκερου. Διπλός</t>
  </si>
  <si>
    <t>ε Monoceros. Διπλός</t>
  </si>
  <si>
    <t>μον ζ</t>
  </si>
  <si>
    <t>ζ Μονόκερου</t>
  </si>
  <si>
    <t>ζ Monoceros</t>
  </si>
  <si>
    <t xml:space="preserve">νγκ </t>
  </si>
  <si>
    <t xml:space="preserve">    NGC</t>
  </si>
  <si>
    <t>νγκ 0040</t>
  </si>
  <si>
    <t xml:space="preserve">NGC 40. Πλανητικό Νεφέλωμα </t>
  </si>
  <si>
    <t>William Herschel</t>
  </si>
  <si>
    <t>νγκ 0128</t>
  </si>
  <si>
    <t xml:space="preserve">NGC 128-11,8 Γαλαξίας  </t>
  </si>
  <si>
    <t xml:space="preserve">253 Mly William Herschel </t>
  </si>
  <si>
    <t>νγκ 0134</t>
  </si>
  <si>
    <t xml:space="preserve">NGC 134-10,5 Γαλαξίας  </t>
  </si>
  <si>
    <t xml:space="preserve">60 Μly James Dunlop </t>
  </si>
  <si>
    <t>νγκ 0147</t>
  </si>
  <si>
    <t xml:space="preserve">NGC 147-9,4 Γαλαξίας  </t>
  </si>
  <si>
    <t>2,58 Mly John Herschel</t>
  </si>
  <si>
    <t>νγκ 0157</t>
  </si>
  <si>
    <t>NGC 157-10,4 Γαλαξίας</t>
  </si>
  <si>
    <t>76,3 Mly William Herschel</t>
  </si>
  <si>
    <t>νγκ 0185</t>
  </si>
  <si>
    <t xml:space="preserve">NGC 185-9,3 Γαλαξίας  </t>
  </si>
  <si>
    <t>2 Mly William Herschel</t>
  </si>
  <si>
    <t>νγκ 0246</t>
  </si>
  <si>
    <t>NGC 246 . Πλανητικό Νεφέλωμα του κρανίου</t>
  </si>
  <si>
    <t>νγκ 0247</t>
  </si>
  <si>
    <t>NGC 247-8,9 Γαλαξίας</t>
  </si>
  <si>
    <t xml:space="preserve">11,1 Mly </t>
  </si>
  <si>
    <t>νγκ 0253</t>
  </si>
  <si>
    <t>NGC 253-7,3 Γαλαξίας</t>
  </si>
  <si>
    <t xml:space="preserve">11,4 Mly Caroline Herschel </t>
  </si>
  <si>
    <t>νγκ 0278</t>
  </si>
  <si>
    <t>NGC 278-10,7 Γαλαξίας</t>
  </si>
  <si>
    <t xml:space="preserve">38,5 Mly </t>
  </si>
  <si>
    <t>νγκ 0288</t>
  </si>
  <si>
    <t>NGC 288. Σφαιρωτό σμήνος</t>
  </si>
  <si>
    <t>Johan Ludvig Emil Dreyer</t>
  </si>
  <si>
    <t>νγκ 0404</t>
  </si>
  <si>
    <t>NGC 404-10 Γαλαξίας</t>
  </si>
  <si>
    <t xml:space="preserve">10 Mly  William Herschel </t>
  </si>
  <si>
    <t>νγκ 0457</t>
  </si>
  <si>
    <t>NGC 457. Ανοιχτό Σμήνος κουκουβάγια</t>
  </si>
  <si>
    <t>νγκ 0488</t>
  </si>
  <si>
    <t xml:space="preserve">NGC 488-10,4 Γαλαξίας </t>
  </si>
  <si>
    <t>90 Mly William Herschel</t>
  </si>
  <si>
    <t>νγκ 0524</t>
  </si>
  <si>
    <t>NGC 524-10,4 Γαλαξίας</t>
  </si>
  <si>
    <t>νγκ 0584</t>
  </si>
  <si>
    <t>NGC 584-10,5 Γαλαξίας</t>
  </si>
  <si>
    <t>76,4 Mly William Herschel</t>
  </si>
  <si>
    <t>νγκ 0660</t>
  </si>
  <si>
    <t xml:space="preserve">NGC 660-10,7 Γαλαξίας  </t>
  </si>
  <si>
    <t xml:space="preserve">45 Mly </t>
  </si>
  <si>
    <t>νγκ 0663</t>
  </si>
  <si>
    <t>NGC 663 Ανοιχτό Σμήνος</t>
  </si>
  <si>
    <t>νγκ 0720</t>
  </si>
  <si>
    <t>NGC 720-10,2 Γαλαξίας</t>
  </si>
  <si>
    <t>80 Mly William Herschel</t>
  </si>
  <si>
    <t>νγκ 0752</t>
  </si>
  <si>
    <t>NGC 752 ανοιχτό σμήνος</t>
  </si>
  <si>
    <t>Caroline Herschel</t>
  </si>
  <si>
    <t>νγκ 0772</t>
  </si>
  <si>
    <t>NGC 772-10,3 Γαλαξίας</t>
  </si>
  <si>
    <t>130 Mly  William Herschel</t>
  </si>
  <si>
    <t>νγκ 0812</t>
  </si>
  <si>
    <t>NGC 812 -11,6 Γαλαξίας</t>
  </si>
  <si>
    <t>Edouard Jean-Marie Stephan</t>
  </si>
  <si>
    <t>νγκ 0869</t>
  </si>
  <si>
    <t>NGC 869 Ανοιχτό Σμήνος</t>
  </si>
  <si>
    <t>Double Cluster</t>
  </si>
  <si>
    <t>νγκ 0884</t>
  </si>
  <si>
    <t>NGC 884 Ανοιχτό Σμήνος</t>
  </si>
  <si>
    <t>νγκ 0890</t>
  </si>
  <si>
    <t>NGC 890 -11,3 Γαλαξίας</t>
  </si>
  <si>
    <t>121 Mly  William Herschel</t>
  </si>
  <si>
    <t>νγκ 0891</t>
  </si>
  <si>
    <t>NGC 891 -10,1 Γαλαξίας</t>
  </si>
  <si>
    <t>30 Mly  William Herschel</t>
  </si>
  <si>
    <t>νγκ 0908</t>
  </si>
  <si>
    <t>NGC 908-10,2 Γαλαξίας</t>
  </si>
  <si>
    <t>60 Mly  William Herschel</t>
  </si>
  <si>
    <t>νγκ 0925</t>
  </si>
  <si>
    <t>NGC 925-9,9 Γαλαξίας</t>
  </si>
  <si>
    <t xml:space="preserve">30 Mly </t>
  </si>
  <si>
    <t>νγκ 0936</t>
  </si>
  <si>
    <t>NGC 936-10,2 Γαλαξίας</t>
  </si>
  <si>
    <t>67 Mly  William Herschel</t>
  </si>
  <si>
    <t>νγκ 0988</t>
  </si>
  <si>
    <t>NGC 988-11 Γαλαξίας</t>
  </si>
  <si>
    <t>56 Mly Edouard Jean-Marie Stephan</t>
  </si>
  <si>
    <t>νγκ 1023</t>
  </si>
  <si>
    <t>NGC 1023-9,5 Γαλαξίας</t>
  </si>
  <si>
    <t xml:space="preserve">60 Mly </t>
  </si>
  <si>
    <t>νγκ 1042</t>
  </si>
  <si>
    <t>NGC 1042-11 Γαλαξίας</t>
  </si>
  <si>
    <t>νγκ 1052</t>
  </si>
  <si>
    <t>NGC 1052-10,5 Γαλαξίας</t>
  </si>
  <si>
    <t>νγκ 1055</t>
  </si>
  <si>
    <t>NGC 1055-10,6 Γαλαξίας</t>
  </si>
  <si>
    <t xml:space="preserve">52 Mly  William Herschel </t>
  </si>
  <si>
    <t>νγκ 1084</t>
  </si>
  <si>
    <t>NGC 1084-10,7 Γαλαξίας</t>
  </si>
  <si>
    <t>νγκ 1087</t>
  </si>
  <si>
    <t>NGC 1087-10,8 Γαλαξίας</t>
  </si>
  <si>
    <t xml:space="preserve">80 Mly </t>
  </si>
  <si>
    <t>νγκ 1090</t>
  </si>
  <si>
    <t>NGC 1090-11,8 Γαλαξίας</t>
  </si>
  <si>
    <t xml:space="preserve">124 Mly </t>
  </si>
  <si>
    <t>νγκ 1232</t>
  </si>
  <si>
    <t>NGC 1232-10,3 Γαλαξίας</t>
  </si>
  <si>
    <t xml:space="preserve">70 Mly </t>
  </si>
  <si>
    <t>νγκ 1297</t>
  </si>
  <si>
    <t>NGC 1297-11,8 Γαλαξίας</t>
  </si>
  <si>
    <t xml:space="preserve">72 Mly Edward Emerson Barnard </t>
  </si>
  <si>
    <t>νγκ 1300</t>
  </si>
  <si>
    <t>NGC 1300-10,3 Γαλαξίας</t>
  </si>
  <si>
    <t>75 Mly John Herschel</t>
  </si>
  <si>
    <t>νγκ 1332</t>
  </si>
  <si>
    <t>NGC 1332-10,3 Γαλαξίας</t>
  </si>
  <si>
    <t xml:space="preserve">  William Herschel</t>
  </si>
  <si>
    <t>νγκ 1400</t>
  </si>
  <si>
    <t>NGC 1400-11 Γαλαξίας</t>
  </si>
  <si>
    <t>64 Mly  William Herschel</t>
  </si>
  <si>
    <t>νγκ 1407</t>
  </si>
  <si>
    <t>NGC 1407-9,7 Γαλαξίας</t>
  </si>
  <si>
    <t>75 Mly  William Herschel</t>
  </si>
  <si>
    <t>νγκ 1499</t>
  </si>
  <si>
    <t>NGC 1499 Καλιφόρνια</t>
  </si>
  <si>
    <t>Νεφέλωμα εκπομπής</t>
  </si>
  <si>
    <t>νγκ 1501</t>
  </si>
  <si>
    <t>NGC 1501 Πλανητικό Νεφέλωμα</t>
  </si>
  <si>
    <t xml:space="preserve"> William Herschel</t>
  </si>
  <si>
    <t>νγκ 1514</t>
  </si>
  <si>
    <t>NGC 1514 Πλανητικό Νεφέλωμα</t>
  </si>
  <si>
    <t>νγκ 1535</t>
  </si>
  <si>
    <t xml:space="preserve">NGC 1535 Πλανητικό Νεφέλωμα   </t>
  </si>
  <si>
    <t>Το μάτι της Κλεοπάτρας William Herschel</t>
  </si>
  <si>
    <t>νγκ 1600</t>
  </si>
  <si>
    <t>NGC 1600-11 Γαλαξίας</t>
  </si>
  <si>
    <t xml:space="preserve">200 Mly </t>
  </si>
  <si>
    <t>νγκ 1637</t>
  </si>
  <si>
    <t>NGC 1637-10,8 Γαλαξίας</t>
  </si>
  <si>
    <t>30 Mly</t>
  </si>
  <si>
    <t>νγκ 1647</t>
  </si>
  <si>
    <t>NGC 1647 Ανοιχτό Σμήνος</t>
  </si>
  <si>
    <t>νγκ 1662</t>
  </si>
  <si>
    <t>NGC 1662 Ανοιχτό Σμήνος</t>
  </si>
  <si>
    <t>νγκ 1857</t>
  </si>
  <si>
    <t>NGC 1857 Ανοιχτό Σμήνος</t>
  </si>
  <si>
    <t>νγκ 1907</t>
  </si>
  <si>
    <t>NGC 1907 Ανοιχτό Σμήνος</t>
  </si>
  <si>
    <t>4.500 Ly</t>
  </si>
  <si>
    <t>νγκ 1964</t>
  </si>
  <si>
    <t>NGC 1407-10,8 Γαλαξίας</t>
  </si>
  <si>
    <t>50 Mly  William Herschel</t>
  </si>
  <si>
    <t>νγκ 2022</t>
  </si>
  <si>
    <t>NGC 2022 Πλανητικό Νεφέλωμα</t>
  </si>
  <si>
    <t>νγκ 2071</t>
  </si>
  <si>
    <t>NGC 2071 Νεφέλωμα Ανάκλασης</t>
  </si>
  <si>
    <t>νγκ 2196</t>
  </si>
  <si>
    <t>NGC 2196-11 Γαλαξίας</t>
  </si>
  <si>
    <t>νγκ 2232</t>
  </si>
  <si>
    <t>NGC 2232</t>
  </si>
  <si>
    <t>Ανοιχτό Σμήνος</t>
  </si>
  <si>
    <t>νγκ 2239</t>
  </si>
  <si>
    <t>NGC 2239 William Herschel</t>
  </si>
  <si>
    <t>Ανοιχτό Σμήνος+ Νεφέλωμα Ροζέτα</t>
  </si>
  <si>
    <t>νγκ 2264</t>
  </si>
  <si>
    <t>NGC 2264</t>
  </si>
  <si>
    <t>Ανοιχτό Σμήνος+ νεφέλωμα</t>
  </si>
  <si>
    <t>νγκ 2276</t>
  </si>
  <si>
    <t>NGC 2276-11,3 Γαλαξίας</t>
  </si>
  <si>
    <t>Friedrich August Theodor Winnecke</t>
  </si>
  <si>
    <t>νγκ 2300</t>
  </si>
  <si>
    <t>NGC 2300-11,1 Γαλαξίας</t>
  </si>
  <si>
    <t>120 Μly Friedrich August Theodor Winnecke</t>
  </si>
  <si>
    <t>νγκ 2336</t>
  </si>
  <si>
    <t xml:space="preserve">NGC 2336-10,3 Γαλαξίας </t>
  </si>
  <si>
    <t xml:space="preserve">Ernst Wilhelm Leberecht Tempel </t>
  </si>
  <si>
    <t>νγκ 2371</t>
  </si>
  <si>
    <t>NGC 2371-2372 Πλανητικό Νεφέλωμα</t>
  </si>
  <si>
    <t>νγκ 2392</t>
  </si>
  <si>
    <t>NGC 2392 Πλανητικό Νεφέλωμα</t>
  </si>
  <si>
    <t xml:space="preserve"> Εσκιμώος William Herschel</t>
  </si>
  <si>
    <t>νγκ 2403</t>
  </si>
  <si>
    <t>NGC 2403-8,2 Γαλαξίας</t>
  </si>
  <si>
    <t>8 Mly William Herschel</t>
  </si>
  <si>
    <t>νγκ 2438</t>
  </si>
  <si>
    <t>NGC 2438 Πλανητικό Νεφέλωμα</t>
  </si>
  <si>
    <t>νγκ 2613</t>
  </si>
  <si>
    <t>NGC 2613-10,5 Γαλαξίας</t>
  </si>
  <si>
    <t>νγκ 2683</t>
  </si>
  <si>
    <t>NGC 2683-9,7 Γαλαξίας</t>
  </si>
  <si>
    <t>25 Mly William Herschel</t>
  </si>
  <si>
    <t>νγκ 2768</t>
  </si>
  <si>
    <t>NGC 2768-9,9 Γαλαξίας</t>
  </si>
  <si>
    <t>65 Mly</t>
  </si>
  <si>
    <t>νγκ 2841</t>
  </si>
  <si>
    <t>NGC 2841-9,3 Γαλαξίας</t>
  </si>
  <si>
    <t>46 Mly William Herschel</t>
  </si>
  <si>
    <t>νγκ 2903</t>
  </si>
  <si>
    <t>NGC 2903-8,8 Γαλαξίας</t>
  </si>
  <si>
    <t>30 Mly Herschel</t>
  </si>
  <si>
    <t>νγκ 2976</t>
  </si>
  <si>
    <t>NGC 2976 -10,1 Γαλαξίας</t>
  </si>
  <si>
    <t>νγκ 3077</t>
  </si>
  <si>
    <t>NGC 3077-10 Γαλαξίας</t>
  </si>
  <si>
    <t xml:space="preserve">13 Mly William Herschel </t>
  </si>
  <si>
    <t>νγκ 3115</t>
  </si>
  <si>
    <t>NGC 3115-9,1 Γαλαξίας</t>
  </si>
  <si>
    <t xml:space="preserve">32 Mly William Herschel </t>
  </si>
  <si>
    <t>νγκ 3166</t>
  </si>
  <si>
    <t>NGC 3166-10,5 Γαλαξίας</t>
  </si>
  <si>
    <t xml:space="preserve">75 Mly William Herschel </t>
  </si>
  <si>
    <t>νγκ 3169</t>
  </si>
  <si>
    <t>NGC 3169-10,3 Γαλαξίας</t>
  </si>
  <si>
    <t>νγκ 3184</t>
  </si>
  <si>
    <t>NGC 3184-9,6 Γαλαξίας</t>
  </si>
  <si>
    <t xml:space="preserve">40 Mly William Herschel </t>
  </si>
  <si>
    <t>νγκ 3185</t>
  </si>
  <si>
    <t>NGC 3185-12 Γαλαξίας</t>
  </si>
  <si>
    <t>William Parsons</t>
  </si>
  <si>
    <t>νγκ 3190</t>
  </si>
  <si>
    <t>NGC 3190-11 Γαλαξίας</t>
  </si>
  <si>
    <t>80 Mly  William Herschel</t>
  </si>
  <si>
    <t>νγκ 3193</t>
  </si>
  <si>
    <t>NGC 3193-11 Γαλαξίας</t>
  </si>
  <si>
    <t xml:space="preserve">80 Mly William Herschel </t>
  </si>
  <si>
    <t>νγκ 3227</t>
  </si>
  <si>
    <t>NGC 3227-10,4 Γαλαξίας</t>
  </si>
  <si>
    <t xml:space="preserve">77 Mly William Herschel </t>
  </si>
  <si>
    <t>νγκ 3239</t>
  </si>
  <si>
    <t>NGC 3239-11,1 Γαλαξίας</t>
  </si>
  <si>
    <t>35 Mly William Herschel</t>
  </si>
  <si>
    <t>νγκ 3319</t>
  </si>
  <si>
    <t>NGC 3319- 10,8 Γαλαξίας</t>
  </si>
  <si>
    <t>Γαλαξίας</t>
  </si>
  <si>
    <t>νγκ 3338</t>
  </si>
  <si>
    <t>NGC 3338-10,9 Γαλαξίας</t>
  </si>
  <si>
    <t>80,8 Mly William Herschel</t>
  </si>
  <si>
    <t>νγκ 3344</t>
  </si>
  <si>
    <t>NGC 3344-9,7 Γαλαξίας</t>
  </si>
  <si>
    <t>22,5 Mly</t>
  </si>
  <si>
    <t>νγκ 3371</t>
  </si>
  <si>
    <t>NGC 3371ή3384 -9,9 Γαλαξίας</t>
  </si>
  <si>
    <t>νγκ 3377</t>
  </si>
  <si>
    <t>NGC 3377-10,2 Γαλαξίας</t>
  </si>
  <si>
    <t xml:space="preserve">26 Mly </t>
  </si>
  <si>
    <t>νγκ 3412</t>
  </si>
  <si>
    <t>NGC 3312-10,4 Γαλαξίας</t>
  </si>
  <si>
    <t>νγκ 3414</t>
  </si>
  <si>
    <t>NGC 3414-10 Γαλαξίας</t>
  </si>
  <si>
    <t>νγκ 3486</t>
  </si>
  <si>
    <t>NGC 3486-10,3 Γαλαξίας</t>
  </si>
  <si>
    <t>27,4 Mly</t>
  </si>
  <si>
    <t>νγκ 3489</t>
  </si>
  <si>
    <t>NGC 3489-10,2 Γαλαξίας</t>
  </si>
  <si>
    <t>νγκ 3504</t>
  </si>
  <si>
    <t>NGC 3504-10,9 Γαλαξίας</t>
  </si>
  <si>
    <t>νγκ 3521</t>
  </si>
  <si>
    <t>NGC 3521-9,2 Γαλαξίας</t>
  </si>
  <si>
    <t>30 Mly William Herschel</t>
  </si>
  <si>
    <t>νγκ 3593</t>
  </si>
  <si>
    <t>NGC 3593-11 Γαλαξίας</t>
  </si>
  <si>
    <t>20,5 Mly</t>
  </si>
  <si>
    <t>νγκ 3607</t>
  </si>
  <si>
    <t>NGC 3607-9,9 Γαλαξίας</t>
  </si>
  <si>
    <t>69,7 Mly William Herschel</t>
  </si>
  <si>
    <t>νγκ 3608</t>
  </si>
  <si>
    <t>NGC 3608-10,7 Γαλαξίας</t>
  </si>
  <si>
    <t>νγκ 3626</t>
  </si>
  <si>
    <t>NGC 3626-10,9 Γαλαξίας</t>
  </si>
  <si>
    <t>70 Mly William Herschel</t>
  </si>
  <si>
    <t>νγκ 3628</t>
  </si>
  <si>
    <t>NGC 3628-9,6 Γαλαξίας</t>
  </si>
  <si>
    <t xml:space="preserve">40 Mly </t>
  </si>
  <si>
    <t>νγκ 3640</t>
  </si>
  <si>
    <t>NGC 3640-10,3 Γαλαξίας</t>
  </si>
  <si>
    <t>νγκ 3646</t>
  </si>
  <si>
    <t>NGC 3646-10,8 Γαλαξίας</t>
  </si>
  <si>
    <t>νγκ 3675</t>
  </si>
  <si>
    <t>NGC 3675-10 Γαλαξίας</t>
  </si>
  <si>
    <t>νγκ 3718</t>
  </si>
  <si>
    <t>NGC 3718- 10 Γαλαξίας</t>
  </si>
  <si>
    <t xml:space="preserve">52 Mly    </t>
  </si>
  <si>
    <t>νγκ 3810</t>
  </si>
  <si>
    <t>NGC 3810-10,6 Γαλαξίας</t>
  </si>
  <si>
    <t>55 Mly William Herschel</t>
  </si>
  <si>
    <t>νγκ 3842</t>
  </si>
  <si>
    <t>NGC 3842-11,8 Γαλαξίας</t>
  </si>
  <si>
    <t>331 Mly William Herschel</t>
  </si>
  <si>
    <t>νγκ 4038</t>
  </si>
  <si>
    <t>NGC 4038- 10,3 Γαλαξίας Κεραίες</t>
  </si>
  <si>
    <t>65 Mly William Herschel</t>
  </si>
  <si>
    <t>νγκ 4039</t>
  </si>
  <si>
    <t>NGC 4039- 10,5 Γαλαξίας Κεραίες</t>
  </si>
  <si>
    <t>νγκ 4125</t>
  </si>
  <si>
    <t>NGC 4125- 9,6 Γαλαξίας</t>
  </si>
  <si>
    <t>79,6 Mly</t>
  </si>
  <si>
    <t>νγκ 4236</t>
  </si>
  <si>
    <t>NGC 4236- 10,1 Γαλαξίας</t>
  </si>
  <si>
    <t>11,7 Mly</t>
  </si>
  <si>
    <t>νγκ 4244</t>
  </si>
  <si>
    <t>NGC 4244- 10 Γαλαξίας</t>
  </si>
  <si>
    <t>14 Mly</t>
  </si>
  <si>
    <t>νγκ 4449</t>
  </si>
  <si>
    <t>NGC 4449- 10 Γαλαξίας</t>
  </si>
  <si>
    <t>12 Mly</t>
  </si>
  <si>
    <t>νγκ 4490</t>
  </si>
  <si>
    <t>NGC 4490- 12 Γαλαξίας</t>
  </si>
  <si>
    <t>139 Mly John Herschel</t>
  </si>
  <si>
    <t>νγκ 4494</t>
  </si>
  <si>
    <t>NGC 4494- 9,7 Γαλαξίας</t>
  </si>
  <si>
    <t>νγκ 4559</t>
  </si>
  <si>
    <t>NGC 4559- 9,6 Γαλαξίας</t>
  </si>
  <si>
    <t>νγκ 4565</t>
  </si>
  <si>
    <t>NGC 4565- 9,5 Γαλαξίας</t>
  </si>
  <si>
    <t>39 Mly William Herschel</t>
  </si>
  <si>
    <t>νγκ 4589</t>
  </si>
  <si>
    <t>NGC 4589- 10,7 Γαλαξίας</t>
  </si>
  <si>
    <t>99 Mly</t>
  </si>
  <si>
    <t>νγκ 4605</t>
  </si>
  <si>
    <t>NGC 4605- 10,1 Γαλαξίας</t>
  </si>
  <si>
    <t xml:space="preserve">13 Mly    </t>
  </si>
  <si>
    <t>νγκ 4618</t>
  </si>
  <si>
    <t>NGC 4618- 10,6 Γαλαξίας</t>
  </si>
  <si>
    <t>νγκ 4631</t>
  </si>
  <si>
    <t>NGC 4631- 9 Γαλαξίας</t>
  </si>
  <si>
    <t>20 Miy William Herschel</t>
  </si>
  <si>
    <t>νγκ 4656</t>
  </si>
  <si>
    <t>NGC 4656- 10,1 Γαλαξίας</t>
  </si>
  <si>
    <t>νγκ 4697</t>
  </si>
  <si>
    <t>NGC 4697- 9,2 Γαλαξίας</t>
  </si>
  <si>
    <t>40 Mly</t>
  </si>
  <si>
    <t>νγκ 4699</t>
  </si>
  <si>
    <t>NGC 4699- 9,6 Γαλαξίας</t>
  </si>
  <si>
    <t>νγκ 4725</t>
  </si>
  <si>
    <t>NGC 4725- 9,3 Γαλαξίας</t>
  </si>
  <si>
    <t>νγκ 4753</t>
  </si>
  <si>
    <t>NGC 4753- 9,7 Γαλαξίας</t>
  </si>
  <si>
    <t>νγκ 4762</t>
  </si>
  <si>
    <t>NGC 4762- 10,1 Γαλαξίας</t>
  </si>
  <si>
    <t>58 Mly</t>
  </si>
  <si>
    <t>νγκ 5005</t>
  </si>
  <si>
    <t>NGC 5005- 9,8 Γαλαξίας</t>
  </si>
  <si>
    <t>νγκ 5033</t>
  </si>
  <si>
    <t>NGC 5033- 10 Γαλαξίας</t>
  </si>
  <si>
    <t>νγκ 5053</t>
  </si>
  <si>
    <t>NGC 5033 Σφαιρωτό Σμήνος</t>
  </si>
  <si>
    <t>55.000 Ly William Herschel</t>
  </si>
  <si>
    <t>νγκ 5102</t>
  </si>
  <si>
    <t>NGC 5102- 9,5 Γαλαξίας</t>
  </si>
  <si>
    <t>12 Mly John Herschel</t>
  </si>
  <si>
    <t>νγκ 5248</t>
  </si>
  <si>
    <t>NGC 5248-10,5 Γαλαξίας</t>
  </si>
  <si>
    <t>59 Mly</t>
  </si>
  <si>
    <t>νγκ 5253</t>
  </si>
  <si>
    <t>NGC 5253-10,1 Γαλαξίας</t>
  </si>
  <si>
    <t>10,9 Mly John Herschel</t>
  </si>
  <si>
    <t>νγκ 5353</t>
  </si>
  <si>
    <t>NGC 5353- 11 Γαλαξίας</t>
  </si>
  <si>
    <t xml:space="preserve">110 Mly William Herschel </t>
  </si>
  <si>
    <t>νγκ 5354</t>
  </si>
  <si>
    <t>νγκ 5363</t>
  </si>
  <si>
    <t>NGC 5363-10,5 Γαλαξίας</t>
  </si>
  <si>
    <t xml:space="preserve">54,5 Mly William Herschel </t>
  </si>
  <si>
    <t>νγκ 5364</t>
  </si>
  <si>
    <t>NGC 5364-10,4 Γαλαξίας</t>
  </si>
  <si>
    <t>νγκ 5371</t>
  </si>
  <si>
    <t>NGC 5371- 10,5 Γαλαξίας</t>
  </si>
  <si>
    <t>100 Mly</t>
  </si>
  <si>
    <t>νγκ 5466</t>
  </si>
  <si>
    <t>NGC 5466  Σφαιρωτό σμήνος</t>
  </si>
  <si>
    <t>νγκ 5474</t>
  </si>
  <si>
    <t>NGC 5474- 10,6 Γαλαξίας</t>
  </si>
  <si>
    <t>Σύντροφος του Μ101</t>
  </si>
  <si>
    <t>νγκ 5566</t>
  </si>
  <si>
    <t>NGC 5566-10,7 Γαλαξίας</t>
  </si>
  <si>
    <t>65 Mly Herschel</t>
  </si>
  <si>
    <t>νγκ 5634</t>
  </si>
  <si>
    <t xml:space="preserve">NGC 5634 Σφαιρωτό σμήνος </t>
  </si>
  <si>
    <t>82.000 Ly</t>
  </si>
  <si>
    <t>νγκ 5694</t>
  </si>
  <si>
    <t xml:space="preserve">NGC 5694 Σφαιρωτό σμήνος  </t>
  </si>
  <si>
    <t>114.000 Ly William Herschel</t>
  </si>
  <si>
    <t>νγκ 5746</t>
  </si>
  <si>
    <t>NGC 5746-10,7 Γαλαξίας</t>
  </si>
  <si>
    <t>95 Mly</t>
  </si>
  <si>
    <t>νγκ 5813</t>
  </si>
  <si>
    <t>NGC 5813-10,5 Γαλαξίας</t>
  </si>
  <si>
    <t>105 Mly  William Herschel</t>
  </si>
  <si>
    <t>νγκ 5824</t>
  </si>
  <si>
    <t xml:space="preserve">NGC 5824 Σφαιρωτό σμήνος </t>
  </si>
  <si>
    <t>James Dunlop</t>
  </si>
  <si>
    <t>νγκ 5846</t>
  </si>
  <si>
    <t>NGC 5846-10,1 Γαλαξίας</t>
  </si>
  <si>
    <t>νγκ 5850</t>
  </si>
  <si>
    <t>NGC 5850-10,8 Γαλαξίας</t>
  </si>
  <si>
    <t>νγκ 5866</t>
  </si>
  <si>
    <t>NGC 5866- 9,9 Γαλαξίας Αδράχτι</t>
  </si>
  <si>
    <t>NGC 5866 ή Μ102</t>
  </si>
  <si>
    <t>νγκ 5897</t>
  </si>
  <si>
    <t xml:space="preserve">NGC 5846 Σφαιρωτό σμήνοςLy 40.000      </t>
  </si>
  <si>
    <t xml:space="preserve"> 40.000 Ly</t>
  </si>
  <si>
    <t>νγκ 5907</t>
  </si>
  <si>
    <t>NGC 5907- 10,4 Γαλαξίας Μαχαίρι</t>
  </si>
  <si>
    <t>νγκ 5982</t>
  </si>
  <si>
    <t>NGC 5982- 11 Γαλαξίας</t>
  </si>
  <si>
    <t>νγκ 5985</t>
  </si>
  <si>
    <t>NGC 5985-11,1 Γαλαξίας</t>
  </si>
  <si>
    <t xml:space="preserve">NGC 5985 140 Mly William Herschel </t>
  </si>
  <si>
    <t>νγκ 6181</t>
  </si>
  <si>
    <t>NGC 6181-11,8 Γαλαξίας</t>
  </si>
  <si>
    <t xml:space="preserve">NGC 6181 107 MlY William Herschel </t>
  </si>
  <si>
    <t>νγκ 6207</t>
  </si>
  <si>
    <t>NGC 6207-11,4 Γαλαξίας</t>
  </si>
  <si>
    <t>60 Mly</t>
  </si>
  <si>
    <t>νγκ 6210</t>
  </si>
  <si>
    <t>NGC 6210 Πλανητικό Νεφέλωμα</t>
  </si>
  <si>
    <t>Friedrich Georg Wilhelm von Struve</t>
  </si>
  <si>
    <t>νγκ 6229</t>
  </si>
  <si>
    <t>NGC 6229 Σφαιρωτό σμήνος</t>
  </si>
  <si>
    <t xml:space="preserve">100.000 Ly William Herschel </t>
  </si>
  <si>
    <t>νγκ 6293</t>
  </si>
  <si>
    <t>NGC 6293 Σφαιρωτό σμήνος</t>
  </si>
  <si>
    <t>28.700 Ly Lewis A. Swift</t>
  </si>
  <si>
    <t>νγκ 6302</t>
  </si>
  <si>
    <t>NGC 6302 Πλανητικό Νεφέλωμα Πεταλούδα</t>
  </si>
  <si>
    <t>Butterfly Nebula</t>
  </si>
  <si>
    <t>νγκ 6304</t>
  </si>
  <si>
    <t>NGC 6304 Σφαιρωτό σμήνος</t>
  </si>
  <si>
    <t xml:space="preserve">19.000 Ly William Herschel </t>
  </si>
  <si>
    <t>νγκ 6309</t>
  </si>
  <si>
    <t>NGC 6309 Πλανητικό Νεφέλωμα</t>
  </si>
  <si>
    <t>Wilhelm Tempel</t>
  </si>
  <si>
    <t>νγκ 6316</t>
  </si>
  <si>
    <t>NGC 6316 Σφαιρωτό σμήνος</t>
  </si>
  <si>
    <t>35.000 Ly William Herschel</t>
  </si>
  <si>
    <t>νγκ 6356</t>
  </si>
  <si>
    <t>NGC 6356 Σφαιρωτό σμήνος</t>
  </si>
  <si>
    <t xml:space="preserve">49.600 Ly William Herschel </t>
  </si>
  <si>
    <t>νγκ 6366</t>
  </si>
  <si>
    <t>NGC 6366 Σφαιρωτό σμήνος</t>
  </si>
  <si>
    <t>11.700 Ly</t>
  </si>
  <si>
    <t>νγκ 6369</t>
  </si>
  <si>
    <t>NGC 6369 Πλανητικό Νεφέλωμα Μικρό φάντασμα</t>
  </si>
  <si>
    <t>Little Ghost Nebula William Herschel</t>
  </si>
  <si>
    <t>νγκ 6374</t>
  </si>
  <si>
    <t>NGC 6374 Ανοιχτό Σμήνος</t>
  </si>
  <si>
    <t xml:space="preserve"> John Herschel</t>
  </si>
  <si>
    <t>νγκ 6383</t>
  </si>
  <si>
    <t>NGC 6383 Ανοιχτό Σμήνος</t>
  </si>
  <si>
    <t>νγκ 6384</t>
  </si>
  <si>
    <t>NGC 6384-10,4 Γαλαξίας</t>
  </si>
  <si>
    <t xml:space="preserve">77 Mly </t>
  </si>
  <si>
    <t>νγκ 6503</t>
  </si>
  <si>
    <t>NGC 6503-10,2 Γαλαξίας</t>
  </si>
  <si>
    <t>18 Mly</t>
  </si>
  <si>
    <t>νγκ 6539</t>
  </si>
  <si>
    <t>NGC 6539 Σφαιρωτό σμήνος</t>
  </si>
  <si>
    <t>25.400 Ly Theodor Brorsen</t>
  </si>
  <si>
    <t>νγκ 6543</t>
  </si>
  <si>
    <t>NGC 6543 Πλανητικό Νεφέλωμα Μάτι της γάτας</t>
  </si>
  <si>
    <t>Το νεφέλωμα του πόλου της εκλειπτικής ή Cat's Eye Nebula   Herschel</t>
  </si>
  <si>
    <t>νγκ 6572</t>
  </si>
  <si>
    <t>NGC 6572 Πλανητικό Νεφέλωμα</t>
  </si>
  <si>
    <t>νγκ 6624</t>
  </si>
  <si>
    <t>NGC 6624 Σφαιρωτό σμήνος</t>
  </si>
  <si>
    <t>25.800 Ly William Herschel</t>
  </si>
  <si>
    <t>νγκ 6652</t>
  </si>
  <si>
    <t>NGC 6652 Σφαιρωτό σμήνος</t>
  </si>
  <si>
    <t xml:space="preserve">10.100 Ly </t>
  </si>
  <si>
    <t>νγκ 6712</t>
  </si>
  <si>
    <t>NGC 6712 Σφαιρωτό σμήνος</t>
  </si>
  <si>
    <t>22.500 Ly William Herschel</t>
  </si>
  <si>
    <t>νγκ 6755</t>
  </si>
  <si>
    <t>NGC 6755 Ανοιχτό Σμήνος</t>
  </si>
  <si>
    <t>4.632 Ly</t>
  </si>
  <si>
    <t>νγκ 6760</t>
  </si>
  <si>
    <t>NGC 6760 Σφαιρωτό σμήνος</t>
  </si>
  <si>
    <t>νγκ 6791</t>
  </si>
  <si>
    <t>NGC 6791 Ανοιχτό Σμήνος</t>
  </si>
  <si>
    <t>13.300 Ly</t>
  </si>
  <si>
    <t>νγκ 6818</t>
  </si>
  <si>
    <t>NGC 6818 Πλανητικό Νεφέλωμα</t>
  </si>
  <si>
    <t xml:space="preserve"> Litle Gem William Herschel</t>
  </si>
  <si>
    <t>νγκ 6822</t>
  </si>
  <si>
    <t>NGC 6822-9,3 Γαλαξίας</t>
  </si>
  <si>
    <t xml:space="preserve"> 1,6 Mly Barnard</t>
  </si>
  <si>
    <t>νγκ 6826</t>
  </si>
  <si>
    <t>NGC 6826 Πλανητικό Νεφέλωμα Που βλεφαρίζει</t>
  </si>
  <si>
    <t>"blinking planetary" William Herschel</t>
  </si>
  <si>
    <t>νγκ 6884</t>
  </si>
  <si>
    <t>NGC 6884 Πλανητικό Νεφέλωμα</t>
  </si>
  <si>
    <t>Μικρό αλλά φωτεινό</t>
  </si>
  <si>
    <t>νγκ 6885</t>
  </si>
  <si>
    <t>NGC 6885 Ανοιχτό Σμήνος</t>
  </si>
  <si>
    <t>NGC 6885</t>
  </si>
  <si>
    <t>νγκ 6886</t>
  </si>
  <si>
    <t>NGC 6886 Πλανητικό Νεφέλωμα</t>
  </si>
  <si>
    <t>Ralph Copeland</t>
  </si>
  <si>
    <t>νγκ 6891</t>
  </si>
  <si>
    <t>NGC 6891 Πλανητικό Νεφέλωμα</t>
  </si>
  <si>
    <t>νγκ 6905</t>
  </si>
  <si>
    <t>NGC 6905 Πλανητικό Νεφέλωμα Γαλάζια λάμψη</t>
  </si>
  <si>
    <t>Blue Flash Nebula William Herschel</t>
  </si>
  <si>
    <t>νγκ 6939</t>
  </si>
  <si>
    <t>NGC 6936 Ανοιχτό Σμήνος</t>
  </si>
  <si>
    <t>5.000 Ly William Herschel</t>
  </si>
  <si>
    <t>νγκ 6946</t>
  </si>
  <si>
    <t xml:space="preserve">NGC 6946- 9 Γαλαξίας των πυροτεχνημάτων </t>
  </si>
  <si>
    <t xml:space="preserve"> 20 Mly Fireworks Galaxy William Herschel</t>
  </si>
  <si>
    <t>νγκ 7008</t>
  </si>
  <si>
    <t>NGC 7008 Πλανητικό Νεφέλωμα</t>
  </si>
  <si>
    <t>νγκ 7009</t>
  </si>
  <si>
    <t>NGC 7009 Πλανητικό Νεφέλωμα Κρόνος</t>
  </si>
  <si>
    <t>Saturn Nebula William Herschel</t>
  </si>
  <si>
    <t>νγκ 7026</t>
  </si>
  <si>
    <t>NGC 7026 Πλανητικό Νεφέλωμα</t>
  </si>
  <si>
    <t xml:space="preserve"> </t>
  </si>
  <si>
    <t>νγκ 7027</t>
  </si>
  <si>
    <t>NGC 7027 Πλανητικό Νεφέλωμα</t>
  </si>
  <si>
    <t xml:space="preserve">Édouard Jean-Marie Stephan </t>
  </si>
  <si>
    <t>νγκ 7217</t>
  </si>
  <si>
    <t>NGC 7217-10,5 Γαλαξίας</t>
  </si>
  <si>
    <t xml:space="preserve"> 50 Mly Herschel</t>
  </si>
  <si>
    <t>νγκ 7252</t>
  </si>
  <si>
    <t>NGC 7252- 11,1 Γαλαξίας Το άτομο της ειρήνης</t>
  </si>
  <si>
    <t>220 Mly !!! Atoms for Peace galaxy</t>
  </si>
  <si>
    <t>νγκ 7293</t>
  </si>
  <si>
    <t>NGC 7293 Πλανητικό Νεφέλωμα Έλικας</t>
  </si>
  <si>
    <t>Karl Ludwig Harding</t>
  </si>
  <si>
    <t>νγκ 7314</t>
  </si>
  <si>
    <t>NGC 7314- 10,8 Γαλαξίας</t>
  </si>
  <si>
    <t>NGC 7314</t>
  </si>
  <si>
    <t>νγκ 7331</t>
  </si>
  <si>
    <t>NGC 7331-9,5 Γαλαξίας</t>
  </si>
  <si>
    <t xml:space="preserve"> 45 Mly Herschel</t>
  </si>
  <si>
    <t>νγκ 7332</t>
  </si>
  <si>
    <t>NGC 7332- 11Γαλαξίας</t>
  </si>
  <si>
    <t>67 Μly</t>
  </si>
  <si>
    <t>νγκ 7377</t>
  </si>
  <si>
    <t>NGC 7377- 11Γαλαξίας</t>
  </si>
  <si>
    <t>155 Mly William Herschel</t>
  </si>
  <si>
    <t>νγκ 7448</t>
  </si>
  <si>
    <t xml:space="preserve">NGC 7448- 11Γαλαξία </t>
  </si>
  <si>
    <t>νγκ 7454</t>
  </si>
  <si>
    <t xml:space="preserve">NGC 7454- 11,8 Γαλαξίας </t>
  </si>
  <si>
    <t>93 Miy John Herschel</t>
  </si>
  <si>
    <t>νγκ 7457</t>
  </si>
  <si>
    <t xml:space="preserve">NGC 7457-11 Γαλαξίας </t>
  </si>
  <si>
    <t>John Herschel</t>
  </si>
  <si>
    <t>νγκ 7479</t>
  </si>
  <si>
    <t xml:space="preserve">NGC 7479-10,9 Γαλαξίας </t>
  </si>
  <si>
    <t>109 Mly John Herschel</t>
  </si>
  <si>
    <t>νγκ 7507</t>
  </si>
  <si>
    <t>NGC 7507-10,4Γαλαξίας</t>
  </si>
  <si>
    <t xml:space="preserve"> 72 Mly William Herschel</t>
  </si>
  <si>
    <t>νγκ 7606</t>
  </si>
  <si>
    <t>NGC 7606-10,8 Γαλαξίας</t>
  </si>
  <si>
    <t xml:space="preserve"> 103 Mly William Herschel</t>
  </si>
  <si>
    <t>νγκ 7619</t>
  </si>
  <si>
    <t>NGC 7619 -11 Γαλαξίας</t>
  </si>
  <si>
    <t>148 Mly William Herschel</t>
  </si>
  <si>
    <t>νγκ 7626</t>
  </si>
  <si>
    <t>NGC 7626 -11Γαλαξίας</t>
  </si>
  <si>
    <t>νγκ 7640</t>
  </si>
  <si>
    <t>NGC 7640-11,1 Γαλαξίας</t>
  </si>
  <si>
    <t xml:space="preserve"> 29 Mly Herschel</t>
  </si>
  <si>
    <t>νγκ 7662</t>
  </si>
  <si>
    <t>NGC 7662 Π.Ν.1800 εφ</t>
  </si>
  <si>
    <t>Μπλέ χιονόμπαλα</t>
  </si>
  <si>
    <t>νγκ 7723</t>
  </si>
  <si>
    <t>NGC 7723-11,2 Γαλαξίας</t>
  </si>
  <si>
    <t xml:space="preserve"> 80 Mly William Herschel</t>
  </si>
  <si>
    <t>νγκ 7727</t>
  </si>
  <si>
    <t>NGC 7727-10,4 Γαλαξίας</t>
  </si>
  <si>
    <t xml:space="preserve"> 76 Mly William Herschel</t>
  </si>
  <si>
    <t>νγκ 7741</t>
  </si>
  <si>
    <t>NGC 7741-11 Γαλαξίας</t>
  </si>
  <si>
    <t>νγκ 7769</t>
  </si>
  <si>
    <t>NGC 7769-12 Γαλαξίας</t>
  </si>
  <si>
    <t>195 Μly William Herschel</t>
  </si>
  <si>
    <t>νγκ 7771</t>
  </si>
  <si>
    <t>NGC 7771-12 Γαλαξίας</t>
  </si>
  <si>
    <t>200 Mly William Herschel</t>
  </si>
  <si>
    <t>νγκ 7785</t>
  </si>
  <si>
    <t>NGC 7785-11,6 Γαλαξίας</t>
  </si>
  <si>
    <t>175 Mly John Herschel</t>
  </si>
  <si>
    <t>νγκ 7793</t>
  </si>
  <si>
    <t>NGC 7793-9 Γαλαξίας</t>
  </si>
  <si>
    <t>νγκ 7814</t>
  </si>
  <si>
    <t>NGC 7814-10,8 Γαλαξίας μικρό σομπρέρο</t>
  </si>
  <si>
    <t> "the little sombrero",</t>
  </si>
  <si>
    <t>νγκ 7817</t>
  </si>
  <si>
    <t>NGC 7817-11,8 Γαλαξίας</t>
  </si>
  <si>
    <t>Όφις</t>
  </si>
  <si>
    <t xml:space="preserve">οφι </t>
  </si>
  <si>
    <t>Serpens</t>
  </si>
  <si>
    <t>Ser</t>
  </si>
  <si>
    <t>Όφι</t>
  </si>
  <si>
    <t>οφι α</t>
  </si>
  <si>
    <t>α Όφι</t>
  </si>
  <si>
    <t>α Serpens</t>
  </si>
  <si>
    <t>οφι β</t>
  </si>
  <si>
    <t>β Όφι. Οπτικά Διπλός</t>
  </si>
  <si>
    <t>β Serpens. Οπτικά Διπλός</t>
  </si>
  <si>
    <t>οφι γ</t>
  </si>
  <si>
    <t>γ Όφι</t>
  </si>
  <si>
    <t>γ Serpens</t>
  </si>
  <si>
    <t>οφι δ</t>
  </si>
  <si>
    <t>δ Όφι. Διπλός</t>
  </si>
  <si>
    <t>δ Serpens. Διπλός</t>
  </si>
  <si>
    <t>οφι ε</t>
  </si>
  <si>
    <t>ε Όφι</t>
  </si>
  <si>
    <t>ε Serpens</t>
  </si>
  <si>
    <t>οφι η</t>
  </si>
  <si>
    <t>η Όφι</t>
  </si>
  <si>
    <t>η Serpens</t>
  </si>
  <si>
    <t>οφι θ</t>
  </si>
  <si>
    <t>θ Όφι. Διπλός</t>
  </si>
  <si>
    <t>θ Serpens. Διπλός</t>
  </si>
  <si>
    <t>οφι ι</t>
  </si>
  <si>
    <t>ι Όφι</t>
  </si>
  <si>
    <t>ι Serpens</t>
  </si>
  <si>
    <t>οφι κ</t>
  </si>
  <si>
    <t>κ Όφι</t>
  </si>
  <si>
    <t>κ Serpens</t>
  </si>
  <si>
    <t>οφι μ</t>
  </si>
  <si>
    <t>μ Όφι</t>
  </si>
  <si>
    <t>μ Serpens</t>
  </si>
  <si>
    <t>οφι ν</t>
  </si>
  <si>
    <t>ν Όφι</t>
  </si>
  <si>
    <t>ν Serpens</t>
  </si>
  <si>
    <t>οφι ξ</t>
  </si>
  <si>
    <t>ξ Όφι</t>
  </si>
  <si>
    <t>ξ Serpens</t>
  </si>
  <si>
    <t>οφι ρ</t>
  </si>
  <si>
    <t>ρ Όφι</t>
  </si>
  <si>
    <t>ρ Serpens</t>
  </si>
  <si>
    <t>Οφιούχος</t>
  </si>
  <si>
    <t xml:space="preserve">οφχ </t>
  </si>
  <si>
    <t>Ophiuchus</t>
  </si>
  <si>
    <t>Oph</t>
  </si>
  <si>
    <t>Οφιούχου</t>
  </si>
  <si>
    <t>οφχ 67</t>
  </si>
  <si>
    <t>67 Οφιούχου. Διπλός</t>
  </si>
  <si>
    <t>67 Ophiuchus. Διπλός</t>
  </si>
  <si>
    <t>οφχ 68</t>
  </si>
  <si>
    <t>68 Οφιούχου. Διπλός</t>
  </si>
  <si>
    <t>68 Ophiuchus. Διπλός</t>
  </si>
  <si>
    <t>οφχ 70</t>
  </si>
  <si>
    <t>70 Οφιούχου. Διπλός</t>
  </si>
  <si>
    <t>70 Ophiuchus. Διπλός</t>
  </si>
  <si>
    <t>οφχ α</t>
  </si>
  <si>
    <t>α Οφιούχου</t>
  </si>
  <si>
    <t>α Ophiuchus</t>
  </si>
  <si>
    <t>οφχ β</t>
  </si>
  <si>
    <t>β Οφιούχου</t>
  </si>
  <si>
    <t>β Ophiuchus</t>
  </si>
  <si>
    <t>οφχ γ</t>
  </si>
  <si>
    <t>γ Οφιούχου</t>
  </si>
  <si>
    <t>γ Ophiuchus</t>
  </si>
  <si>
    <t>οφχ δ</t>
  </si>
  <si>
    <t>δ Οφιούχου</t>
  </si>
  <si>
    <t>δ Ophiuchus</t>
  </si>
  <si>
    <t>οφχ ε</t>
  </si>
  <si>
    <t>ε Οφιούχου</t>
  </si>
  <si>
    <t>ε Ophiuchus</t>
  </si>
  <si>
    <t>οφχ ζ</t>
  </si>
  <si>
    <t>ζ Οφιούχου</t>
  </si>
  <si>
    <t>ζ Ophiuchus</t>
  </si>
  <si>
    <t>οφχ η</t>
  </si>
  <si>
    <t>η Οφιούχου</t>
  </si>
  <si>
    <t>η Ophiuchus</t>
  </si>
  <si>
    <t>οφχ θ</t>
  </si>
  <si>
    <t>θ Οφιούχου</t>
  </si>
  <si>
    <t>θ Ophiuchus</t>
  </si>
  <si>
    <t>οφχ ν</t>
  </si>
  <si>
    <t>ν Οφιούχου</t>
  </si>
  <si>
    <t>ν Ophiuchus</t>
  </si>
  <si>
    <t>οφχ ρ</t>
  </si>
  <si>
    <t>ρ Οφιούχου</t>
  </si>
  <si>
    <t>ρ Ophiuchus</t>
  </si>
  <si>
    <t>Παρθένος</t>
  </si>
  <si>
    <t xml:space="preserve">παρ </t>
  </si>
  <si>
    <t>Virgo</t>
  </si>
  <si>
    <t>Vir</t>
  </si>
  <si>
    <t>Παρθένου</t>
  </si>
  <si>
    <t>παρ 109</t>
  </si>
  <si>
    <t>109 Παρθένου</t>
  </si>
  <si>
    <t>109 Virgo</t>
  </si>
  <si>
    <t>παρ α</t>
  </si>
  <si>
    <t>α Παρθένου. Στάχυς</t>
  </si>
  <si>
    <t>α Virgo. Spica</t>
  </si>
  <si>
    <t>παρ β</t>
  </si>
  <si>
    <t>β Παρθένου</t>
  </si>
  <si>
    <t>β Virgo</t>
  </si>
  <si>
    <t>παρ γ</t>
  </si>
  <si>
    <t>γ Παρθένου. Διπλός</t>
  </si>
  <si>
    <t>γ Virgo. Διπλός</t>
  </si>
  <si>
    <t>παρ δ</t>
  </si>
  <si>
    <t>δ Παρθένου</t>
  </si>
  <si>
    <t>δ Virgo</t>
  </si>
  <si>
    <t>παρ ε</t>
  </si>
  <si>
    <t>ε Παρθένου</t>
  </si>
  <si>
    <t>ε Virgo</t>
  </si>
  <si>
    <t>παρ ζ</t>
  </si>
  <si>
    <t>ζ Παρθένου</t>
  </si>
  <si>
    <t>ζ Virgo</t>
  </si>
  <si>
    <t>παρ η</t>
  </si>
  <si>
    <t>η Παρθένου</t>
  </si>
  <si>
    <t>η Virgo</t>
  </si>
  <si>
    <t>παρ θ</t>
  </si>
  <si>
    <t>θ Παρθένου</t>
  </si>
  <si>
    <t>θ Virgo</t>
  </si>
  <si>
    <t>παρ ι</t>
  </si>
  <si>
    <t>ι Παρθένου</t>
  </si>
  <si>
    <t>ι Virgo</t>
  </si>
  <si>
    <t>παρ κ</t>
  </si>
  <si>
    <t>κ Παρθένου</t>
  </si>
  <si>
    <t>κ Virgo</t>
  </si>
  <si>
    <t>παρ μ</t>
  </si>
  <si>
    <t>μ Παρθένου</t>
  </si>
  <si>
    <t>μ Virgo</t>
  </si>
  <si>
    <t>παρ ν</t>
  </si>
  <si>
    <t>ν Παρθένου</t>
  </si>
  <si>
    <t>ν Virgo</t>
  </si>
  <si>
    <t>παρ ο</t>
  </si>
  <si>
    <t>ο Παρθένου</t>
  </si>
  <si>
    <t>ο Virgo</t>
  </si>
  <si>
    <t>παρ τ</t>
  </si>
  <si>
    <t>τ Παρθένου</t>
  </si>
  <si>
    <t>τ Virgo</t>
  </si>
  <si>
    <t>Περσέας</t>
  </si>
  <si>
    <t xml:space="preserve">περ </t>
  </si>
  <si>
    <t>Perseus</t>
  </si>
  <si>
    <t>Per</t>
  </si>
  <si>
    <t>Περσέα</t>
  </si>
  <si>
    <t>περ α</t>
  </si>
  <si>
    <t>α Περσέα</t>
  </si>
  <si>
    <t>α Perseus</t>
  </si>
  <si>
    <t>περ β</t>
  </si>
  <si>
    <t>β Περσέα</t>
  </si>
  <si>
    <t>β Perseus</t>
  </si>
  <si>
    <t>περ γ</t>
  </si>
  <si>
    <t>γ Περσέα</t>
  </si>
  <si>
    <t>γ Perseus</t>
  </si>
  <si>
    <t>περ δ</t>
  </si>
  <si>
    <t>δ Περσέα</t>
  </si>
  <si>
    <t>δ Perseus</t>
  </si>
  <si>
    <t>περ ε</t>
  </si>
  <si>
    <t>ε Περσέα</t>
  </si>
  <si>
    <t>ε Perseus</t>
  </si>
  <si>
    <t>περ ζ</t>
  </si>
  <si>
    <t>ζ Περσέα</t>
  </si>
  <si>
    <t>ζ Perseus</t>
  </si>
  <si>
    <t>περ η</t>
  </si>
  <si>
    <t>η Περσέα. Διπλός</t>
  </si>
  <si>
    <t>η Perseus. Διπλός</t>
  </si>
  <si>
    <t>περ ν</t>
  </si>
  <si>
    <t>ν Περσέα</t>
  </si>
  <si>
    <t>ν Perseus</t>
  </si>
  <si>
    <t>περ ξ</t>
  </si>
  <si>
    <t>ξ Περσέα. Διπλός</t>
  </si>
  <si>
    <t>ξ Perseus. Διπλός</t>
  </si>
  <si>
    <t>περ ο</t>
  </si>
  <si>
    <t>ο Περσέα</t>
  </si>
  <si>
    <t>ο Perseus</t>
  </si>
  <si>
    <t>περ ρ</t>
  </si>
  <si>
    <t>ρ Περσέα</t>
  </si>
  <si>
    <t>ρ Perseus</t>
  </si>
  <si>
    <t>περ φ</t>
  </si>
  <si>
    <t>φ Περσέα</t>
  </si>
  <si>
    <t>φ Perseus</t>
  </si>
  <si>
    <t>Πήγασος</t>
  </si>
  <si>
    <t xml:space="preserve">πηγ </t>
  </si>
  <si>
    <t>Pegasus</t>
  </si>
  <si>
    <t>Peg</t>
  </si>
  <si>
    <t>Πηγάσου</t>
  </si>
  <si>
    <t>πηγ α</t>
  </si>
  <si>
    <t>α Πηγάσου</t>
  </si>
  <si>
    <t>α Pegasus</t>
  </si>
  <si>
    <t>πηγ β</t>
  </si>
  <si>
    <t>β Πηγάσου</t>
  </si>
  <si>
    <t>β Pegasus</t>
  </si>
  <si>
    <t>πηγ γ</t>
  </si>
  <si>
    <t>γ Πηγάσου. Variable star</t>
  </si>
  <si>
    <t>γ Pegasus. Variable star</t>
  </si>
  <si>
    <t>πηγ ε</t>
  </si>
  <si>
    <t>ε Πηγάσου</t>
  </si>
  <si>
    <t>ε Pegasus</t>
  </si>
  <si>
    <t>πηγ ζ</t>
  </si>
  <si>
    <t>ζ Πηγάσου</t>
  </si>
  <si>
    <t>ζ Pegasus</t>
  </si>
  <si>
    <t>πηγ η</t>
  </si>
  <si>
    <t>η Πηγάσου</t>
  </si>
  <si>
    <t>η Pegasus</t>
  </si>
  <si>
    <t>πηγ θ</t>
  </si>
  <si>
    <t>θ Πηγάσου</t>
  </si>
  <si>
    <t>θ Pegasus</t>
  </si>
  <si>
    <t>πηγ λ</t>
  </si>
  <si>
    <t>λ Πηγάσου</t>
  </si>
  <si>
    <t>λ Pegasus</t>
  </si>
  <si>
    <t>πηγ μ</t>
  </si>
  <si>
    <t>μ Πηγάσου</t>
  </si>
  <si>
    <t>μ Pegasus</t>
  </si>
  <si>
    <t>πηγ π</t>
  </si>
  <si>
    <t>π Πηγάσου</t>
  </si>
  <si>
    <t>π Pegasus</t>
  </si>
  <si>
    <t>πηγ τ</t>
  </si>
  <si>
    <t>τ Πηγάσου</t>
  </si>
  <si>
    <t>τ Pegasus</t>
  </si>
  <si>
    <t>πηγ υ</t>
  </si>
  <si>
    <t>υ Πηγάσου</t>
  </si>
  <si>
    <t>υ Pegasus</t>
  </si>
  <si>
    <t>πηγ φ</t>
  </si>
  <si>
    <t>φ Πηγάσου</t>
  </si>
  <si>
    <t>φ Pegasus</t>
  </si>
  <si>
    <t>πηγ χ</t>
  </si>
  <si>
    <t>χ Πηγάσου. Variable star</t>
  </si>
  <si>
    <t>χ Pegasus. Variable star</t>
  </si>
  <si>
    <t>Περιστέρα</t>
  </si>
  <si>
    <t xml:space="preserve">πρσ </t>
  </si>
  <si>
    <t>Columba</t>
  </si>
  <si>
    <t>Col</t>
  </si>
  <si>
    <t>Περιστέρος</t>
  </si>
  <si>
    <t>πρσ α</t>
  </si>
  <si>
    <t>α Περιστέρας</t>
  </si>
  <si>
    <t>α Columba</t>
  </si>
  <si>
    <t>πρσ β</t>
  </si>
  <si>
    <t>β Περιστέρας</t>
  </si>
  <si>
    <t>β Columba</t>
  </si>
  <si>
    <t>πρσ δ</t>
  </si>
  <si>
    <t>δ Περιστέρας</t>
  </si>
  <si>
    <t>δ Columba</t>
  </si>
  <si>
    <t>πρσ ε</t>
  </si>
  <si>
    <t>ε Περιστέρας</t>
  </si>
  <si>
    <t>ε Columba</t>
  </si>
  <si>
    <t>Πρύμη</t>
  </si>
  <si>
    <t xml:space="preserve">πρυ </t>
  </si>
  <si>
    <t>Puppis</t>
  </si>
  <si>
    <t>Pup</t>
  </si>
  <si>
    <t>Πρύμης</t>
  </si>
  <si>
    <t>πρυ ξ</t>
  </si>
  <si>
    <t>ξ Πρύμης</t>
  </si>
  <si>
    <t>ξ Puppis</t>
  </si>
  <si>
    <t>πρυ ρ</t>
  </si>
  <si>
    <t>ρ Πρύμης</t>
  </si>
  <si>
    <t>ρ Puppis</t>
  </si>
  <si>
    <t>Πυξίς</t>
  </si>
  <si>
    <t xml:space="preserve">πυξ </t>
  </si>
  <si>
    <t>Pyxis</t>
  </si>
  <si>
    <t>Pyx</t>
  </si>
  <si>
    <t>Πυξίδος</t>
  </si>
  <si>
    <t>Σαύρα</t>
  </si>
  <si>
    <t xml:space="preserve">σαυ </t>
  </si>
  <si>
    <t>αστερισμός</t>
  </si>
  <si>
    <t>Lacerta</t>
  </si>
  <si>
    <t>Lac</t>
  </si>
  <si>
    <t>Σαύρας</t>
  </si>
  <si>
    <t>σαυ α</t>
  </si>
  <si>
    <t>α Σαύρας</t>
  </si>
  <si>
    <t>α Lacerta</t>
  </si>
  <si>
    <t>σαυ β</t>
  </si>
  <si>
    <t>β Σαύρας</t>
  </si>
  <si>
    <t>β Lacerta</t>
  </si>
  <si>
    <t>Σκορπιός</t>
  </si>
  <si>
    <t xml:space="preserve">σκο </t>
  </si>
  <si>
    <t>Scorpius</t>
  </si>
  <si>
    <t>Sco</t>
  </si>
  <si>
    <t>Σκορπιού</t>
  </si>
  <si>
    <t>σκο α</t>
  </si>
  <si>
    <t>α Σκορπιού. Διπλός Αντάρης</t>
  </si>
  <si>
    <t>α Scopius. Διπλός Antares</t>
  </si>
  <si>
    <t>σκο β</t>
  </si>
  <si>
    <t>β Σκορπιού. Διπλός</t>
  </si>
  <si>
    <t>β Scorpius. Διπλός</t>
  </si>
  <si>
    <t>σκο δ</t>
  </si>
  <si>
    <t>δ Σκορπιού</t>
  </si>
  <si>
    <t>δ Scorpius</t>
  </si>
  <si>
    <t>σκο ε</t>
  </si>
  <si>
    <t>ε Σκορπιού</t>
  </si>
  <si>
    <t>ε Scorpius</t>
  </si>
  <si>
    <t>σκο ζ</t>
  </si>
  <si>
    <t>ζ Σκορπιού. Πολλά μαζί</t>
  </si>
  <si>
    <t>ζ Scorpius. Πολλά μαζί</t>
  </si>
  <si>
    <t>σκο η</t>
  </si>
  <si>
    <t>η Σκορπιού</t>
  </si>
  <si>
    <t>η Scorpius</t>
  </si>
  <si>
    <t>σκο θ</t>
  </si>
  <si>
    <t>θ Σκορπιού</t>
  </si>
  <si>
    <t>θ Scorpius</t>
  </si>
  <si>
    <t>σκο κ</t>
  </si>
  <si>
    <t>κ Σκορπιού</t>
  </si>
  <si>
    <t>κ Scorpius</t>
  </si>
  <si>
    <t>σκο λ</t>
  </si>
  <si>
    <t>λ Σκορπιού</t>
  </si>
  <si>
    <t>λ Scorpius</t>
  </si>
  <si>
    <t>σκο μ</t>
  </si>
  <si>
    <t>μ Σκορπιού. Διπλός</t>
  </si>
  <si>
    <t>μ Scorpius. Διπλός</t>
  </si>
  <si>
    <t>σκο ν</t>
  </si>
  <si>
    <t>ν Σκορπιού. Διπλός</t>
  </si>
  <si>
    <t>ν Scorpius. Διπλός</t>
  </si>
  <si>
    <t>σκο π</t>
  </si>
  <si>
    <t>π Σκορπιού</t>
  </si>
  <si>
    <t>π Scorpius</t>
  </si>
  <si>
    <t>σκο σ</t>
  </si>
  <si>
    <t>σ Σκορπιού</t>
  </si>
  <si>
    <t>σ Scorpius</t>
  </si>
  <si>
    <t>σκο τ</t>
  </si>
  <si>
    <t>τ Σκορπιού</t>
  </si>
  <si>
    <t>τ Scorpius</t>
  </si>
  <si>
    <t>σκο υ</t>
  </si>
  <si>
    <t>υ Σκορπιού</t>
  </si>
  <si>
    <t>υ Scorpius</t>
  </si>
  <si>
    <t>Βόρειος Στέφανος</t>
  </si>
  <si>
    <t xml:space="preserve">στβ </t>
  </si>
  <si>
    <t>Βόρειος</t>
  </si>
  <si>
    <t>Στέφανος</t>
  </si>
  <si>
    <t>Corana</t>
  </si>
  <si>
    <t>Borealis</t>
  </si>
  <si>
    <t>CrB</t>
  </si>
  <si>
    <t>Βόρειου Στεφάνου</t>
  </si>
  <si>
    <t>Corona Borealis</t>
  </si>
  <si>
    <t>στβ α</t>
  </si>
  <si>
    <t>α Βόρειου Στέφανου. Μαργαρίτης</t>
  </si>
  <si>
    <t>α Corona Borealis</t>
  </si>
  <si>
    <t>στβ β</t>
  </si>
  <si>
    <t>β Βόρειου Στέφανου. Διπλός</t>
  </si>
  <si>
    <t>β Corona Borealis. Διπλός</t>
  </si>
  <si>
    <t>στβ γ</t>
  </si>
  <si>
    <t>γ Βόρειου Στέφανου.</t>
  </si>
  <si>
    <t>γ Corona Borealis</t>
  </si>
  <si>
    <t>στβ δ</t>
  </si>
  <si>
    <t>δ Βόρειου Στέφανου.</t>
  </si>
  <si>
    <t>δ Corona Borealis</t>
  </si>
  <si>
    <t>στβ ε</t>
  </si>
  <si>
    <t>ε Βόρειου Στέφανου.</t>
  </si>
  <si>
    <t>ε Corona Borealis</t>
  </si>
  <si>
    <t>στβ ζ1</t>
  </si>
  <si>
    <t>ζ1 Βόρειου Στέφανου.</t>
  </si>
  <si>
    <t>ζ1 Corona Borealis</t>
  </si>
  <si>
    <t>στβ ι</t>
  </si>
  <si>
    <t>ι Βόρειου Στέφανου.</t>
  </si>
  <si>
    <t>ι Corona Borealis</t>
  </si>
  <si>
    <t>στβ κ</t>
  </si>
  <si>
    <t>κ Βόρειου Στέφανου.</t>
  </si>
  <si>
    <t>κ Corona Borealis</t>
  </si>
  <si>
    <t>στβ π</t>
  </si>
  <si>
    <t>π Βόρειου Στέφανου.</t>
  </si>
  <si>
    <t>π Corona Borealis</t>
  </si>
  <si>
    <t>στβ σ</t>
  </si>
  <si>
    <t>σ Βόρειου Στέφανου. Διπλός</t>
  </si>
  <si>
    <t>σ Corona Borealis. Διπλός</t>
  </si>
  <si>
    <t xml:space="preserve">Νότιος Στέφανος </t>
  </si>
  <si>
    <t xml:space="preserve">στν </t>
  </si>
  <si>
    <t>Corοna</t>
  </si>
  <si>
    <t>Austrina</t>
  </si>
  <si>
    <t>CrA</t>
  </si>
  <si>
    <t>Νότιου Στεφάνου</t>
  </si>
  <si>
    <t>Corona Austrina</t>
  </si>
  <si>
    <t>στν α</t>
  </si>
  <si>
    <t>α Νοτίου Στεφάνου</t>
  </si>
  <si>
    <t>α Corona Austrina</t>
  </si>
  <si>
    <t>στν β</t>
  </si>
  <si>
    <t>β Νοτίου Στεφάνου</t>
  </si>
  <si>
    <t>β Corona Austrina</t>
  </si>
  <si>
    <t>στν γ</t>
  </si>
  <si>
    <t>γ Νοτίου Στεφάνου</t>
  </si>
  <si>
    <t>γ Corona Austrina</t>
  </si>
  <si>
    <t>Ταύρος</t>
  </si>
  <si>
    <t xml:space="preserve">ταυ </t>
  </si>
  <si>
    <t>Taurus</t>
  </si>
  <si>
    <t>Tau</t>
  </si>
  <si>
    <t>Ταύρου</t>
  </si>
  <si>
    <t>ταυ α</t>
  </si>
  <si>
    <t>α Ταύρου.Λαμπαδίας</t>
  </si>
  <si>
    <t>α Taurus. Aldebaran</t>
  </si>
  <si>
    <t>ταυ β</t>
  </si>
  <si>
    <t>β Ταύρου. High proper motios star</t>
  </si>
  <si>
    <t>β Taurus. High proper motios star</t>
  </si>
  <si>
    <t>ταυ ζ</t>
  </si>
  <si>
    <t>ζ Ταύρου</t>
  </si>
  <si>
    <t>ζ Taurus</t>
  </si>
  <si>
    <t>ταυ η</t>
  </si>
  <si>
    <t>Αλκυόνη</t>
  </si>
  <si>
    <t>η Taurus</t>
  </si>
  <si>
    <t>ταυ λ</t>
  </si>
  <si>
    <t>λ Ταύρου</t>
  </si>
  <si>
    <t>λ Taurus</t>
  </si>
  <si>
    <t>Τοξότης</t>
  </si>
  <si>
    <t xml:space="preserve">τοξ </t>
  </si>
  <si>
    <t>Sagittarius</t>
  </si>
  <si>
    <t>Sgr</t>
  </si>
  <si>
    <t>Τοξότου</t>
  </si>
  <si>
    <t>τοξ α</t>
  </si>
  <si>
    <t>α Τοξότου</t>
  </si>
  <si>
    <t>α Sagittarius</t>
  </si>
  <si>
    <t>τοξ γ</t>
  </si>
  <si>
    <t xml:space="preserve">γ Τοξότου. High proper motios star. </t>
  </si>
  <si>
    <t xml:space="preserve">γ Sagittarius. High proper motios star. </t>
  </si>
  <si>
    <t>τοξ δ</t>
  </si>
  <si>
    <t xml:space="preserve">δ Τοξότου. High proper motios star. </t>
  </si>
  <si>
    <t xml:space="preserve">δ Sagittarius. High proper motios star. </t>
  </si>
  <si>
    <t>τοξ ε</t>
  </si>
  <si>
    <t>ε Τοξότου. Διπλός</t>
  </si>
  <si>
    <t>ε Sagittarius. Διπλός</t>
  </si>
  <si>
    <t>τοξ ζ</t>
  </si>
  <si>
    <t>ζ Τοξότου. Διπλός</t>
  </si>
  <si>
    <t>ζ Sagittarius. Διπλός</t>
  </si>
  <si>
    <t>τοξ η</t>
  </si>
  <si>
    <t>η Τοξότου</t>
  </si>
  <si>
    <t>η Sagittarius</t>
  </si>
  <si>
    <t>τοξ λ</t>
  </si>
  <si>
    <t>λ Τοξότου</t>
  </si>
  <si>
    <t>λ Sagittarius</t>
  </si>
  <si>
    <t>τοξ ξ</t>
  </si>
  <si>
    <t>ξ Τοξότου</t>
  </si>
  <si>
    <t>ξ Sagittarius</t>
  </si>
  <si>
    <t>τοξ ο</t>
  </si>
  <si>
    <t>ο Τοξότου</t>
  </si>
  <si>
    <t>ο Sagittarius</t>
  </si>
  <si>
    <t>τοξ π</t>
  </si>
  <si>
    <t>π Τοξότου. Διπλός</t>
  </si>
  <si>
    <t>π Sagittarius. Διπλός</t>
  </si>
  <si>
    <t>τοξ σ</t>
  </si>
  <si>
    <t>σ Τοξότου</t>
  </si>
  <si>
    <t>σ Sagittarius</t>
  </si>
  <si>
    <t>τοξ τ</t>
  </si>
  <si>
    <t>τ Τοξότου</t>
  </si>
  <si>
    <t>τ Sagittarius</t>
  </si>
  <si>
    <t>τοξ φ</t>
  </si>
  <si>
    <t>φ Τοξότου</t>
  </si>
  <si>
    <t>φ Sagittarius</t>
  </si>
  <si>
    <t>Τρίγωνο</t>
  </si>
  <si>
    <t xml:space="preserve">τρι </t>
  </si>
  <si>
    <t>Triangulum</t>
  </si>
  <si>
    <t>Tri</t>
  </si>
  <si>
    <t>Τριγώνου</t>
  </si>
  <si>
    <t>τρι α</t>
  </si>
  <si>
    <t>α Τριγώνου</t>
  </si>
  <si>
    <t>αTriangulum</t>
  </si>
  <si>
    <t>τρι β</t>
  </si>
  <si>
    <t>β Τριγώνου</t>
  </si>
  <si>
    <t>β Triangulum</t>
  </si>
  <si>
    <t>τρι γ</t>
  </si>
  <si>
    <t>γ Τριγώνου. High proper motios star</t>
  </si>
  <si>
    <t>γ Triangulum. High proper motios star</t>
  </si>
  <si>
    <t>Τροπίς</t>
  </si>
  <si>
    <t xml:space="preserve">τρο </t>
  </si>
  <si>
    <t>Carina</t>
  </si>
  <si>
    <t>Car</t>
  </si>
  <si>
    <t>Τροπίδος</t>
  </si>
  <si>
    <t>Υδροχόος</t>
  </si>
  <si>
    <t xml:space="preserve">υδρ </t>
  </si>
  <si>
    <t>Aquarius</t>
  </si>
  <si>
    <t>Aqr</t>
  </si>
  <si>
    <t>Υδροχόου</t>
  </si>
  <si>
    <t>υδρ α</t>
  </si>
  <si>
    <t>α Υδροχόου</t>
  </si>
  <si>
    <t>α Aquarius</t>
  </si>
  <si>
    <t>υδρ β</t>
  </si>
  <si>
    <t>β Υδροχόου</t>
  </si>
  <si>
    <t>β Aquarius</t>
  </si>
  <si>
    <t>υδρ γ</t>
  </si>
  <si>
    <t>γ Υδροχόου</t>
  </si>
  <si>
    <t>γ Aquarius</t>
  </si>
  <si>
    <t>υδρ δ</t>
  </si>
  <si>
    <t>δ Υδροχόου</t>
  </si>
  <si>
    <t>δ Aquarius</t>
  </si>
  <si>
    <t>υδρ ε</t>
  </si>
  <si>
    <t>ε Υδροχόου</t>
  </si>
  <si>
    <t>ε Aquarius</t>
  </si>
  <si>
    <t>υδρ ζ</t>
  </si>
  <si>
    <t>ζ Υδροχόου. Διπλός</t>
  </si>
  <si>
    <t>ζ Aquarius. Διπλός</t>
  </si>
  <si>
    <t>υδρ η</t>
  </si>
  <si>
    <t>η Υδροχόου</t>
  </si>
  <si>
    <t>η Aquarius</t>
  </si>
  <si>
    <t>υδρ θ</t>
  </si>
  <si>
    <t>θ Υδροχόου</t>
  </si>
  <si>
    <t>θ Aquarius</t>
  </si>
  <si>
    <t>υδρ κ</t>
  </si>
  <si>
    <t>κ Υδροχόου</t>
  </si>
  <si>
    <t>κ Aquarius</t>
  </si>
  <si>
    <t>υδρ λ</t>
  </si>
  <si>
    <t>λ Υδροχόου</t>
  </si>
  <si>
    <t>λ Aquarius</t>
  </si>
  <si>
    <t>υδρ ν</t>
  </si>
  <si>
    <t>ν Υδροχόου</t>
  </si>
  <si>
    <t>ν Aquarius</t>
  </si>
  <si>
    <t>υδρ π</t>
  </si>
  <si>
    <t>π Υδροχόου</t>
  </si>
  <si>
    <t>π Aquarius</t>
  </si>
  <si>
    <t>υδρ φ</t>
  </si>
  <si>
    <t>φ Υδροχόου</t>
  </si>
  <si>
    <t>φ Aquarius</t>
  </si>
  <si>
    <t>υδρ ψ1</t>
  </si>
  <si>
    <t>ψ1 Υδροχόου. High proper motios star</t>
  </si>
  <si>
    <t>ψ1 Aquarius. High proper motios star</t>
  </si>
  <si>
    <t>υδρ ψ2</t>
  </si>
  <si>
    <t>ψ2 Υδροχόου</t>
  </si>
  <si>
    <t>ψ2 Aquarius</t>
  </si>
  <si>
    <t>υδρ ω2</t>
  </si>
  <si>
    <t>ω2 Υδροχόου</t>
  </si>
  <si>
    <t>ω2 Aquarius</t>
  </si>
  <si>
    <t>Ύδρα</t>
  </si>
  <si>
    <t xml:space="preserve">υδρα </t>
  </si>
  <si>
    <t>Hydra</t>
  </si>
  <si>
    <t>Hya</t>
  </si>
  <si>
    <t>Ύδρας</t>
  </si>
  <si>
    <t>υδρα β</t>
  </si>
  <si>
    <t>β Ύδρας</t>
  </si>
  <si>
    <t>β Hydra</t>
  </si>
  <si>
    <t>υδρα γ</t>
  </si>
  <si>
    <t>γ Ύδρας</t>
  </si>
  <si>
    <t>γ Hydra</t>
  </si>
  <si>
    <t>υδρα δ</t>
  </si>
  <si>
    <t>δ Ύδρας. Διπλός</t>
  </si>
  <si>
    <t>δ  Hydra. Διπλός</t>
  </si>
  <si>
    <t>υδρα ε</t>
  </si>
  <si>
    <t>ε Ύδρας</t>
  </si>
  <si>
    <t>ε Hydra</t>
  </si>
  <si>
    <t>υδρα ζ</t>
  </si>
  <si>
    <t>ζ  Ύδρας</t>
  </si>
  <si>
    <t>ζ Hydra</t>
  </si>
  <si>
    <t>υδρα θ</t>
  </si>
  <si>
    <t>θ  Ύδρας</t>
  </si>
  <si>
    <t>θ Hydra</t>
  </si>
  <si>
    <t>υδρα ξ</t>
  </si>
  <si>
    <t>ξ  Ύδρας</t>
  </si>
  <si>
    <t>ξ Hydra</t>
  </si>
  <si>
    <t>υδρα π</t>
  </si>
  <si>
    <t>π Ύδρας</t>
  </si>
  <si>
    <t>π Hydra</t>
  </si>
  <si>
    <t>υδρα ψ</t>
  </si>
  <si>
    <t>ψ Ύδρας</t>
  </si>
  <si>
    <t>ψ Hydra</t>
  </si>
  <si>
    <t>Φοίνιξ</t>
  </si>
  <si>
    <t xml:space="preserve">φοι </t>
  </si>
  <si>
    <t>Phoexix</t>
  </si>
  <si>
    <t>Phe</t>
  </si>
  <si>
    <t>Φοίνικος</t>
  </si>
  <si>
    <t xml:space="preserve">ω </t>
  </si>
  <si>
    <t xml:space="preserve">      HD</t>
  </si>
  <si>
    <t>ω 001</t>
  </si>
  <si>
    <t>HD 81817</t>
  </si>
  <si>
    <t>ω 002</t>
  </si>
  <si>
    <t>HD 106112</t>
  </si>
  <si>
    <t>ω 003</t>
  </si>
  <si>
    <t>HD 139691</t>
  </si>
  <si>
    <t>Διπλός!</t>
  </si>
  <si>
    <t>ω 004</t>
  </si>
  <si>
    <t>HD 136176</t>
  </si>
  <si>
    <t>ω 005</t>
  </si>
  <si>
    <t>HD 142742</t>
  </si>
  <si>
    <t>Ωρίωνας</t>
  </si>
  <si>
    <t xml:space="preserve">ωρι </t>
  </si>
  <si>
    <t>Orion</t>
  </si>
  <si>
    <t>Ori</t>
  </si>
  <si>
    <t>Ωρίωνος</t>
  </si>
  <si>
    <t>ωρι α</t>
  </si>
  <si>
    <t>α Ωρίωνος.Betelgeuez</t>
  </si>
  <si>
    <t>α Orion.Betelgeuez</t>
  </si>
  <si>
    <t>ωρι β</t>
  </si>
  <si>
    <t>β Ωρίωνος.Rigel Διπλός</t>
  </si>
  <si>
    <t>β Orion.Rigel Διπλός</t>
  </si>
  <si>
    <t>ωρι γ</t>
  </si>
  <si>
    <t>γ Ωρίωνος</t>
  </si>
  <si>
    <t>γ Orion</t>
  </si>
  <si>
    <t>ωρι δ</t>
  </si>
  <si>
    <t>δ Ωρίωνος. Διπλός</t>
  </si>
  <si>
    <t>δ Orion. Διπλός</t>
  </si>
  <si>
    <t>ωρι ε</t>
  </si>
  <si>
    <t>ε Ωρίωνος</t>
  </si>
  <si>
    <t>ε Orion</t>
  </si>
  <si>
    <t>ωρι ζ</t>
  </si>
  <si>
    <t>ζ Ωρίωνος. Διπλός</t>
  </si>
  <si>
    <t>ζ Orion. Διπλός</t>
  </si>
  <si>
    <t>ωρι η</t>
  </si>
  <si>
    <t>η Ωρίωνος</t>
  </si>
  <si>
    <t>η Orion</t>
  </si>
  <si>
    <t>ωρι θ</t>
  </si>
  <si>
    <t>θ Ωρίωνος. Τετραπλός</t>
  </si>
  <si>
    <t>θ Orion. Τετραπλός</t>
  </si>
  <si>
    <t>ωρι κ</t>
  </si>
  <si>
    <t>κ Ωρίωνος</t>
  </si>
  <si>
    <t>κ Orion</t>
  </si>
  <si>
    <t>ωρι λ</t>
  </si>
  <si>
    <t>λ Ωρίωνος. Διπλός</t>
  </si>
  <si>
    <t>λ Orion. Διπλός</t>
  </si>
  <si>
    <t>ωρι σ</t>
  </si>
  <si>
    <t>σ Ωρίωνος. Τετραπλός</t>
  </si>
  <si>
    <t>σ Orion. Τετραπλός</t>
  </si>
  <si>
    <t>"Αστερισμός "</t>
  </si>
  <si>
    <t xml:space="preserve">ωσο </t>
  </si>
  <si>
    <t>ωσο α</t>
  </si>
  <si>
    <t>ωσο β</t>
  </si>
  <si>
    <t>ωσο γ</t>
  </si>
  <si>
    <t>ωσο δ</t>
  </si>
  <si>
    <t>ωσο ε</t>
  </si>
  <si>
    <t xml:space="preserve">ωωχ </t>
  </si>
  <si>
    <t>ωωχ α</t>
  </si>
  <si>
    <t>ωωχ β</t>
  </si>
  <si>
    <t>ωωχ γ</t>
  </si>
  <si>
    <t>ωωχ δ</t>
  </si>
  <si>
    <t>ωωχ ε</t>
  </si>
  <si>
    <t>ωωχ κ</t>
  </si>
  <si>
    <t>ωωχ λ</t>
  </si>
  <si>
    <t>ωωχ μ</t>
  </si>
  <si>
    <t>ωωχ ν</t>
  </si>
  <si>
    <t xml:space="preserve">ωωω </t>
  </si>
  <si>
    <t>ωωω α</t>
  </si>
  <si>
    <t>ωωω β</t>
  </si>
  <si>
    <t>Να μην γραφτεί τίποτα</t>
  </si>
  <si>
    <t>ωωωω</t>
  </si>
  <si>
    <t xml:space="preserve">      Δεν </t>
  </si>
  <si>
    <t xml:space="preserve">  υπάρχει</t>
  </si>
  <si>
    <t>καταχώριση</t>
  </si>
  <si>
    <t xml:space="preserve">     Δεν </t>
  </si>
  <si>
    <t xml:space="preserve"> υπάρχει</t>
  </si>
  <si>
    <t>EQ ΑΠΟ - ΠΡΟΣ</t>
  </si>
  <si>
    <t xml:space="preserve">  ΑΠΟ</t>
  </si>
  <si>
    <t xml:space="preserve">           ΠΡΟΣ</t>
  </si>
  <si>
    <t>ΑΠΟΤΕΛΕΣΜΑ</t>
  </si>
  <si>
    <t xml:space="preserve">                 Ορθή ανφορά</t>
  </si>
  <si>
    <t>Λεπτά.....................</t>
  </si>
  <si>
    <t xml:space="preserve">                 Ώρες</t>
  </si>
  <si>
    <t xml:space="preserve">              Λεπτά </t>
  </si>
  <si>
    <t>Στροφές.................</t>
  </si>
  <si>
    <t xml:space="preserve">   Δευτερόλεπτα</t>
  </si>
  <si>
    <t xml:space="preserve">          Δεκαδικό</t>
  </si>
  <si>
    <t>Μοίρες.....................</t>
  </si>
  <si>
    <t xml:space="preserve">            Μοίρες</t>
  </si>
  <si>
    <t xml:space="preserve">             Λεπτά </t>
  </si>
  <si>
    <t xml:space="preserve">                                   Δευτερόλεπτα</t>
  </si>
  <si>
    <t>Στροφές..................</t>
  </si>
  <si>
    <t xml:space="preserve">  Δευτερόλεπτα</t>
  </si>
  <si>
    <t xml:space="preserve">         Δεκαδικό</t>
  </si>
  <si>
    <t xml:space="preserve">       ΑΠΟ</t>
  </si>
  <si>
    <t xml:space="preserve">       ΠΡΟΣ</t>
  </si>
  <si>
    <t>ENTER</t>
  </si>
  <si>
    <t>ΑΠΟ</t>
  </si>
  <si>
    <t>Λεπτά..........................</t>
  </si>
  <si>
    <t>Στροφές...................</t>
  </si>
  <si>
    <t xml:space="preserve">        Δεκαδικό</t>
  </si>
  <si>
    <t>Απόκλιση</t>
  </si>
  <si>
    <t>Μοίρες..........................</t>
  </si>
  <si>
    <t xml:space="preserve">           Μοίρες</t>
  </si>
  <si>
    <t xml:space="preserve">            Λεπτά </t>
  </si>
  <si>
    <t xml:space="preserve">                                  Δευτερόλεπτα</t>
  </si>
  <si>
    <t xml:space="preserve">        ΑΠΟ</t>
  </si>
  <si>
    <t xml:space="preserve"> ENTER</t>
  </si>
  <si>
    <r>
      <t xml:space="preserve">                           </t>
    </r>
    <r>
      <rPr>
        <b/>
        <sz val="11"/>
        <color rgb="FF7030A0"/>
        <rFont val="Times New Roman"/>
        <family val="1"/>
        <charset val="161"/>
      </rPr>
      <t>Νυχτερινή</t>
    </r>
    <r>
      <rPr>
        <sz val="11"/>
        <color theme="1"/>
        <rFont val="Times New Roman"/>
        <family val="1"/>
        <charset val="161"/>
      </rPr>
      <t xml:space="preserve"> Οθόνη</t>
    </r>
    <r>
      <rPr>
        <b/>
        <sz val="11"/>
        <color rgb="FFFF0000"/>
        <rFont val="Times New Roman"/>
        <family val="1"/>
        <charset val="161"/>
      </rPr>
      <t xml:space="preserve"> 1</t>
    </r>
  </si>
  <si>
    <r>
      <t xml:space="preserve">                          </t>
    </r>
    <r>
      <rPr>
        <b/>
        <sz val="11"/>
        <color rgb="FF7030A0"/>
        <rFont val="Times New Roman"/>
        <family val="1"/>
        <charset val="161"/>
      </rPr>
      <t xml:space="preserve"> Νυχτερινή</t>
    </r>
    <r>
      <rPr>
        <sz val="11"/>
        <color theme="1"/>
        <rFont val="Times New Roman"/>
        <family val="1"/>
        <charset val="161"/>
      </rPr>
      <t xml:space="preserve"> Οθόνη </t>
    </r>
    <r>
      <rPr>
        <b/>
        <sz val="11"/>
        <color rgb="FFFF0000"/>
        <rFont val="Times New Roman"/>
        <family val="1"/>
        <charset val="161"/>
      </rPr>
      <t>2</t>
    </r>
  </si>
  <si>
    <r>
      <t xml:space="preserve">                          Έγχρωμη   Οθόνη </t>
    </r>
    <r>
      <rPr>
        <b/>
        <sz val="11"/>
        <color rgb="FFFF0000"/>
        <rFont val="Times New Roman"/>
        <family val="1"/>
        <charset val="161"/>
      </rPr>
      <t xml:space="preserve"> 3</t>
    </r>
  </si>
  <si>
    <t>Απο</t>
  </si>
  <si>
    <t>Προς</t>
  </si>
  <si>
    <r>
      <t>νυχτερινή Οθόνη</t>
    </r>
    <r>
      <rPr>
        <b/>
        <sz val="11"/>
        <rFont val="Times New Roman"/>
        <family val="1"/>
        <charset val="161"/>
      </rPr>
      <t xml:space="preserve"> 2</t>
    </r>
  </si>
  <si>
    <t>Λογισμικό επιλογής οθόνης</t>
  </si>
  <si>
    <r>
      <t xml:space="preserve">  Οθόνη </t>
    </r>
    <r>
      <rPr>
        <b/>
        <sz val="11"/>
        <color rgb="FFFF0000"/>
        <rFont val="Times New Roman"/>
        <family val="1"/>
        <charset val="161"/>
      </rPr>
      <t>3</t>
    </r>
  </si>
  <si>
    <r>
      <t xml:space="preserve">                            </t>
    </r>
    <r>
      <rPr>
        <b/>
        <sz val="11"/>
        <color rgb="FFFF0000"/>
        <rFont val="Times New Roman"/>
        <family val="1"/>
        <charset val="161"/>
      </rPr>
      <t xml:space="preserve"> Οθόνες</t>
    </r>
  </si>
  <si>
    <t>Επιλογή Οθόνης</t>
  </si>
  <si>
    <t>Enter</t>
  </si>
  <si>
    <r>
      <t xml:space="preserve">                Οθόνη προγραμματισμού </t>
    </r>
    <r>
      <rPr>
        <b/>
        <sz val="11"/>
        <color rgb="FFFF0000"/>
        <rFont val="Times New Roman"/>
        <family val="1"/>
        <charset val="161"/>
      </rPr>
      <t>4</t>
    </r>
  </si>
  <si>
    <t>Είσοδος (από επιλογή οθόνης)</t>
  </si>
  <si>
    <t>isnumber</t>
  </si>
  <si>
    <t>αν το επάνω=FALSE;5;είσοδος</t>
  </si>
  <si>
    <t>αν το επάνω&gt;4;5;το επάνω</t>
  </si>
  <si>
    <t>αν το επάνω&lt;1;5;το επάνω</t>
  </si>
  <si>
    <t>Οθόνη 1</t>
  </si>
  <si>
    <t>ΠΡΟΣ</t>
  </si>
  <si>
    <t>Οθόνη 2</t>
  </si>
  <si>
    <t>Οθόνη 3</t>
  </si>
  <si>
    <t>Οθόνη 4</t>
  </si>
  <si>
    <t>Κωδικός οθόνης</t>
  </si>
  <si>
    <t>Ενεργή οθόνη</t>
  </si>
  <si>
    <t>Μήνυμα 5</t>
  </si>
  <si>
    <t>Γράφουμε μόνο τους αριθμούς 1 2 3 4</t>
  </si>
  <si>
    <t>Έξοδος</t>
  </si>
  <si>
    <t>LOOKUP 1                             ΑΠΟ</t>
  </si>
  <si>
    <t>LOOKUP 2                            ΠΡΟΣ</t>
  </si>
  <si>
    <r>
      <t>Οθόνη προγραματισμού</t>
    </r>
    <r>
      <rPr>
        <sz val="11"/>
        <color rgb="FFFF0000"/>
        <rFont val="Times New Roman"/>
        <family val="1"/>
        <charset val="161"/>
      </rPr>
      <t xml:space="preserve"> 4</t>
    </r>
  </si>
  <si>
    <t>Λογισμικό καταλόγου</t>
  </si>
  <si>
    <t xml:space="preserve">               ΑΠΟ</t>
  </si>
  <si>
    <t xml:space="preserve">             Ορθή Αναφορά                </t>
  </si>
  <si>
    <t>Look up A</t>
  </si>
  <si>
    <t>LooK up B  Ώρες</t>
  </si>
  <si>
    <t xml:space="preserve">Look up B  Λεπτά </t>
  </si>
  <si>
    <t>Look up B Δευτερόλεπτα</t>
  </si>
  <si>
    <t xml:space="preserve">                       Απόκλιση</t>
  </si>
  <si>
    <t>LooK up B  Μοίρες</t>
  </si>
  <si>
    <t xml:space="preserve">                    Κείμενα</t>
  </si>
  <si>
    <t>1) LooK up B Όνομα Ελληνικά</t>
  </si>
  <si>
    <t>2) Look up B  Όνομα Λατινηκά</t>
  </si>
  <si>
    <t>αν 1)=0;"";1)</t>
  </si>
  <si>
    <t>αν 2)=0;"";2)</t>
  </si>
  <si>
    <t xml:space="preserve">                Είσοδος</t>
  </si>
  <si>
    <t xml:space="preserve">                      Έξοδος</t>
  </si>
  <si>
    <t xml:space="preserve">                     ΠΡΟΣ</t>
  </si>
  <si>
    <t>Είσοδος από Λογισμικό επιλογής οθόνης</t>
  </si>
  <si>
    <t>Μετατροπή Μοιρών-Ωρών στο δεκαδικό</t>
  </si>
  <si>
    <t>Είσοδος</t>
  </si>
  <si>
    <t>αν το επάνω=FALSE;0;είσοδος</t>
  </si>
  <si>
    <r>
      <t xml:space="preserve">άθροισμα των κόκκινων </t>
    </r>
    <r>
      <rPr>
        <sz val="11"/>
        <color rgb="FFFF0000"/>
        <rFont val="Times New Roman"/>
        <family val="1"/>
        <charset val="161"/>
      </rPr>
      <t>αν</t>
    </r>
  </si>
  <si>
    <t>Κυρίως Λογισμικό</t>
  </si>
  <si>
    <t>Δευτερόλεπτα</t>
  </si>
  <si>
    <t>άθροισμα των δύο επάνω</t>
  </si>
  <si>
    <t>Μετάπτωση</t>
  </si>
  <si>
    <t>ΟΘΟΝΕΣ</t>
  </si>
  <si>
    <t>ΜΕΤΑΠΤΩΣΗ</t>
  </si>
  <si>
    <t>Έτος</t>
  </si>
  <si>
    <t>LOOKUP 4                         Μήνυμα</t>
  </si>
  <si>
    <t>LOOKUP 3                           ΕΤΟΣ</t>
  </si>
  <si>
    <t>ΕΤΟΣ</t>
  </si>
  <si>
    <t>ΑΣΤΡΟ Ευθυγράμμισης</t>
  </si>
  <si>
    <t xml:space="preserve">                                                        ΑΠΟ</t>
  </si>
  <si>
    <t xml:space="preserve">                                                      ΠΡΟΣ</t>
  </si>
  <si>
    <t>Είσοδοι και Έξοδοι</t>
  </si>
  <si>
    <t>του προγράμματος</t>
  </si>
  <si>
    <t>Ορθή Αναφορά</t>
  </si>
  <si>
    <t xml:space="preserve">          Έξοδος Ορθή Αναφορά</t>
  </si>
  <si>
    <t xml:space="preserve">             Έξοδος Απόκλιση</t>
  </si>
  <si>
    <t xml:space="preserve">Μοίρες </t>
  </si>
  <si>
    <t xml:space="preserve">    Κείμενα</t>
  </si>
  <si>
    <t>ωωωωω</t>
  </si>
  <si>
    <t>αν το επάνω=FALSE;ωωωωω;1)Αν</t>
  </si>
  <si>
    <t>1)Αν το επάνω=με είσοδο; Το επάνω ; "ωωωω"</t>
  </si>
  <si>
    <t>Μόνο</t>
  </si>
  <si>
    <t>Μη αναγνωρίσιμοι χαρακτήρες</t>
  </si>
  <si>
    <t>isnumber (στο άθροισμα)</t>
  </si>
  <si>
    <t xml:space="preserve">αν η 1) Αν (γκρι) =ωωωω;1;0 </t>
  </si>
  <si>
    <t>αν η 1) Αν (γκρι) =είσοδο;1;0</t>
  </si>
  <si>
    <t>Πληκτρολόγηση</t>
  </si>
  <si>
    <t>Λάθος</t>
  </si>
  <si>
    <t>Προσοχή!!!</t>
  </si>
  <si>
    <t>αντ α</t>
  </si>
  <si>
    <t>α Αντλίας</t>
  </si>
  <si>
    <t>α Antlia</t>
  </si>
  <si>
    <t>Λογισμικό εξόδου προς οθόνες</t>
  </si>
  <si>
    <t>Είσοδος από κατάλογο</t>
  </si>
  <si>
    <t>0Αναφορά</t>
  </si>
  <si>
    <t>Δεθτερόλεπτα</t>
  </si>
  <si>
    <t xml:space="preserve">  Κείμενα</t>
  </si>
  <si>
    <t>EQ ΑΠΟ-ΠΡΟΣ Κυρίως λογισμικό</t>
  </si>
  <si>
    <t>Πρόγραμμα αφαίρεσης Ορθής Αναφοράς</t>
  </si>
  <si>
    <t xml:space="preserve">                       Είσοδος </t>
  </si>
  <si>
    <t xml:space="preserve">ΑΠΟ </t>
  </si>
  <si>
    <t xml:space="preserve">ΠΡΟΣ </t>
  </si>
  <si>
    <t>ΑΠΟ - ΠΡΟΣ</t>
  </si>
  <si>
    <t>ΑΝ  ΑΠΟ - ΠΡΟΣ &lt;0 ; 0 ; Το επάνω</t>
  </si>
  <si>
    <t xml:space="preserve">                        ΔΥΤΙΚΑ</t>
  </si>
  <si>
    <r>
      <t>αν το επάνω&gt;12 ; 0 ; Το επάνω</t>
    </r>
    <r>
      <rPr>
        <sz val="11"/>
        <color rgb="FF7030A0"/>
        <rFont val="Times New Roman"/>
        <family val="1"/>
        <charset val="161"/>
      </rPr>
      <t xml:space="preserve"> (Δυτικά)</t>
    </r>
  </si>
  <si>
    <t>αν ΑΠΟ - ΠΡΟΣ&lt;(-12) ;  εντάξει ; 0</t>
  </si>
  <si>
    <t>24 + το επάνω</t>
  </si>
  <si>
    <t xml:space="preserve">αν το επάνω = 24 ; 0 ; Το επάνω </t>
  </si>
  <si>
    <r>
      <t xml:space="preserve">άθροισμα των μωβ     </t>
    </r>
    <r>
      <rPr>
        <sz val="11"/>
        <color rgb="FF7030A0"/>
        <rFont val="Times New Roman"/>
        <family val="1"/>
        <charset val="161"/>
      </rPr>
      <t>(ΔΥΤΙΚΑ)</t>
    </r>
  </si>
  <si>
    <t xml:space="preserve">                           ΑΝΑΤΟΛΙΚΑ</t>
  </si>
  <si>
    <t>αν ΑΠΟ - ΠΡΟΣ&lt; 0 ; ΑΠΟ - ΠΡΟΣ ; 0</t>
  </si>
  <si>
    <t>αν το επάνω&lt;12;0;το επάνω</t>
  </si>
  <si>
    <t>αν ΑΠΟ - ΠΡΟΣ&gt; 12 ; ΑΠΟ - ΠΡΟΣ ; 0</t>
  </si>
  <si>
    <t>το επάνω - 24</t>
  </si>
  <si>
    <t>αν το επάνω&lt;24 ; 0 ; Το επάνω</t>
  </si>
  <si>
    <r>
      <t xml:space="preserve">άθροισμα των πορτοκαλί </t>
    </r>
    <r>
      <rPr>
        <sz val="11"/>
        <color theme="9" tint="-0.249977111117893"/>
        <rFont val="Times New Roman"/>
        <family val="1"/>
        <charset val="161"/>
      </rPr>
      <t>(ΑΝΑΤΟΛΙΚΑ)</t>
    </r>
  </si>
  <si>
    <t>άθροισμα  πορτοκαλί + μωβ</t>
  </si>
  <si>
    <t>εξαγωγή μηνύματος</t>
  </si>
  <si>
    <t>αν το επάνω&gt;0 ; "ΑΝΑΤΟΛΙΚΑ " ; "ΔΥΤΙΚΑ"</t>
  </si>
  <si>
    <t>ΕΞΟΔΟΣ</t>
  </si>
  <si>
    <t>αν ΑΠΟ - ΠΡΟΣ = 0 ; "-" ; Το επάνω</t>
  </si>
  <si>
    <t>Το γρί * 60           Λεπτά</t>
  </si>
  <si>
    <t>Το γρί * 6            Στροφές</t>
  </si>
  <si>
    <t>Πρόγραμμα αφαίρεσης Απόκλισης</t>
  </si>
  <si>
    <t xml:space="preserve">ΑΠΟ+90 </t>
  </si>
  <si>
    <t>ΠΡΟΣ+09</t>
  </si>
  <si>
    <t>(ΠΡΟΣ+90)-(ΑΠΟ+90)   Μοίρες</t>
  </si>
  <si>
    <t>Το επάνω/2,2               Στροφές</t>
  </si>
  <si>
    <t>αν το επάνω&gt;0 ; "ΒΟΡΕΙΑ μοίρες" ; "ΝΟΤΙΑ μοίρες"</t>
  </si>
  <si>
    <t>αν το =0;""; Το επάνω</t>
  </si>
  <si>
    <t>Μετατροπή δεκαδικού στο σύστημα ωρών – μοιρών.</t>
  </si>
  <si>
    <t>αν το κάτω διαγωνίως πορτοκαλί = 0 ; Το δίπλα ; 0</t>
  </si>
  <si>
    <t xml:space="preserve">Άθροισμα </t>
  </si>
  <si>
    <t>αν είναι&lt;100 ; ο αριθμός ; 0</t>
  </si>
  <si>
    <t>Το ροζ-γαλάζιο Έξοδος......................................................</t>
  </si>
  <si>
    <t>αν το επάνω&lt;10 ; 0 ; Το επάνω</t>
  </si>
  <si>
    <t xml:space="preserve">αν το δίπλα&gt;0 ; 90 ; 0 </t>
  </si>
  <si>
    <t>αν είναι&lt;90 ; ο αριθμός ; 0</t>
  </si>
  <si>
    <t xml:space="preserve">αν το δίπλα&gt;0 ; 80 ; 0 </t>
  </si>
  <si>
    <t>αν είναι&lt;80 ; ο αριθμός ; 0</t>
  </si>
  <si>
    <t xml:space="preserve">αν το δίπλα&gt;0 ; 70 ; 0 </t>
  </si>
  <si>
    <t>αν είναι&lt;70 ; ο αριθμός ; 0</t>
  </si>
  <si>
    <t xml:space="preserve">αν το δίπλα&gt;0 ; 60 ; 0 </t>
  </si>
  <si>
    <t>αν είναι&lt;60 ; ο αριθμός ; 0</t>
  </si>
  <si>
    <t xml:space="preserve">αν το δίπλα&gt;0 ; 50 ; 0 </t>
  </si>
  <si>
    <t>αν είναι&lt;50 ; ο αριθμός ; 0</t>
  </si>
  <si>
    <t xml:space="preserve">αν το δίπλα&gt;0 ; 40 ; 0 </t>
  </si>
  <si>
    <t>αν είναι&lt;40 ; ο αριθμός ; 0</t>
  </si>
  <si>
    <t xml:space="preserve">αν το δίπλα&gt;0 ; 30 ; 0 </t>
  </si>
  <si>
    <t>αν είναι&lt;30 ; ο αριθμός ; 0</t>
  </si>
  <si>
    <t xml:space="preserve">αν το δίπλα&gt;0 ; 20 ; 0 </t>
  </si>
  <si>
    <t>αν είναι&lt;20 ; ο αριθμός ; 0</t>
  </si>
  <si>
    <t xml:space="preserve">αν το δίπλα&gt;0 ; 10 ; 0 </t>
  </si>
  <si>
    <t>αν είναι&lt;10 ; ο αριθμός ; 0</t>
  </si>
  <si>
    <t xml:space="preserve">αν το δίπλα&gt;0 ; 9 ; 0 </t>
  </si>
  <si>
    <t>αν είναι&lt;9 ; ο αριθμός ; 0</t>
  </si>
  <si>
    <t xml:space="preserve">αν το δίπλα&gt;0 ; 8 ; 0 </t>
  </si>
  <si>
    <t>αν είναι&lt;8 ; ο αριθμός ; 0</t>
  </si>
  <si>
    <t xml:space="preserve">αν το δίπλα&gt;0 ; 7 ; 0 </t>
  </si>
  <si>
    <t>αν είναι&lt;7 ; ο αριθμός ; 0</t>
  </si>
  <si>
    <t xml:space="preserve">αν το δίπλα&gt;0 ; 6 ; 0 </t>
  </si>
  <si>
    <t>αν είναι&lt;6 ; ο αριθμός ; 0</t>
  </si>
  <si>
    <t xml:space="preserve">αν το δίπλα&gt;0 ; 5 ; 0 </t>
  </si>
  <si>
    <t>αν είναι&lt;5 ; ο αριθμός ; 0</t>
  </si>
  <si>
    <t xml:space="preserve">αν το δίπλα&gt;0 ; 4 ; 0 </t>
  </si>
  <si>
    <t>αν είναι&lt;4 ; ο αριθμός ; 0</t>
  </si>
  <si>
    <t xml:space="preserve">αν το δίπλα&gt;0 ; 3 ; 0 </t>
  </si>
  <si>
    <t>αν είναι&lt;3 ; ο αριθμός ; 0</t>
  </si>
  <si>
    <t xml:space="preserve">αν το δίπλα&gt;0 ; 2 ; 0 </t>
  </si>
  <si>
    <t>αν είναι&lt;2 ; ο αριθμός ; 0</t>
  </si>
  <si>
    <t xml:space="preserve">αν το δίπλα&gt;0 ; 1 ; 0 </t>
  </si>
  <si>
    <t>αν είναι&lt;1 ; ο αριθμός ; 0</t>
  </si>
  <si>
    <t>Δεκαδικός..........................................................................</t>
  </si>
  <si>
    <t xml:space="preserve">Ακέραιος..................................... </t>
  </si>
  <si>
    <t>Λογισμικό εισόδου τιμών</t>
  </si>
  <si>
    <t>Λογισμικό εξόδου</t>
  </si>
  <si>
    <t>Λογισμικό Μοίρες-Ώρες</t>
  </si>
  <si>
    <t xml:space="preserve">Καθαρίζει τις τιμές, και μετατρέπει </t>
  </si>
  <si>
    <t>τους αρνητικούς  σε θετικούς</t>
  </si>
  <si>
    <t>το επάνω στέλνεται στον</t>
  </si>
  <si>
    <t xml:space="preserve">                                        είσοδος</t>
  </si>
  <si>
    <t>Ακέραιος</t>
  </si>
  <si>
    <t>κάτω πίνακα για νεο διαχωρισμό</t>
  </si>
  <si>
    <t>ISNUMBER</t>
  </si>
  <si>
    <t>Είσοδος προγράμματος</t>
  </si>
  <si>
    <t>το επάνω * 1</t>
  </si>
  <si>
    <r>
      <t xml:space="preserve">αν η </t>
    </r>
    <r>
      <rPr>
        <sz val="11"/>
        <color rgb="FFFF0000"/>
        <rFont val="Times New Roman"/>
        <family val="1"/>
        <charset val="161"/>
      </rPr>
      <t>Αν=1</t>
    </r>
    <r>
      <rPr>
        <sz val="11"/>
        <color theme="1"/>
        <rFont val="Times New Roman"/>
        <family val="1"/>
        <charset val="161"/>
      </rPr>
      <t xml:space="preserve"> ; Ακέραιος ; 0</t>
    </r>
  </si>
  <si>
    <t>αν το επάνω=1; Είσοδος ; 0</t>
  </si>
  <si>
    <t>το επάνω*(-1)</t>
  </si>
  <si>
    <t>AN το επάνω &lt;0 ; 1 ;0</t>
  </si>
  <si>
    <r>
      <t xml:space="preserve">αν η </t>
    </r>
    <r>
      <rPr>
        <sz val="11"/>
        <color rgb="FFFF0000"/>
        <rFont val="Times New Roman"/>
        <family val="1"/>
        <charset val="161"/>
      </rPr>
      <t>Αν=1</t>
    </r>
    <r>
      <rPr>
        <sz val="11"/>
        <color theme="1"/>
        <rFont val="Times New Roman"/>
        <family val="1"/>
        <charset val="161"/>
      </rPr>
      <t xml:space="preserve"> ; το επάνω ; Ακέραιος</t>
    </r>
  </si>
  <si>
    <t xml:space="preserve">      ΕΞΟΔΟΣ</t>
  </si>
  <si>
    <t>αν το επάνω=1 ; Είσοδος ; 0</t>
  </si>
  <si>
    <t>Δεκαδικός</t>
  </si>
  <si>
    <r>
      <t xml:space="preserve">αν η </t>
    </r>
    <r>
      <rPr>
        <sz val="11"/>
        <color rgb="FFFF0000"/>
        <rFont val="Times New Roman"/>
        <family val="1"/>
        <charset val="161"/>
      </rPr>
      <t>Αν=1</t>
    </r>
    <r>
      <rPr>
        <sz val="11"/>
        <color theme="1"/>
        <rFont val="Times New Roman"/>
        <family val="1"/>
        <charset val="161"/>
      </rPr>
      <t xml:space="preserve"> ; Δεκαδικός ; 0</t>
    </r>
  </si>
  <si>
    <t>αν το επάνω=0 ; Είσοδος ; Το επάνω</t>
  </si>
  <si>
    <r>
      <t xml:space="preserve">αν η </t>
    </r>
    <r>
      <rPr>
        <sz val="11"/>
        <color rgb="FFFF0000"/>
        <rFont val="Times New Roman"/>
        <family val="1"/>
        <charset val="161"/>
      </rPr>
      <t>Αν=1</t>
    </r>
    <r>
      <rPr>
        <sz val="11"/>
        <color theme="1"/>
        <rFont val="Times New Roman"/>
        <family val="1"/>
        <charset val="161"/>
      </rPr>
      <t xml:space="preserve"> ; Το επάνω ; Δεκαδικός</t>
    </r>
  </si>
  <si>
    <t>Ώρες - Μοίρες</t>
  </si>
  <si>
    <t>Είσοδος Υποπίνακα 100 έως 10</t>
  </si>
  <si>
    <r>
      <t xml:space="preserve">Δέχεται τιμές </t>
    </r>
    <r>
      <rPr>
        <b/>
        <sz val="11"/>
        <color rgb="FFC00000"/>
        <rFont val="Times New Roman"/>
        <family val="1"/>
        <charset val="161"/>
      </rPr>
      <t>100&lt; έως 10</t>
    </r>
  </si>
  <si>
    <t>Είσοδος Υποπίνακα 10 ; Έως 0</t>
  </si>
  <si>
    <t>αν το επάνω&lt;10 ; Το επάνω ; Το επ γκρί</t>
  </si>
  <si>
    <r>
      <t xml:space="preserve">Δέχεται τιμές </t>
    </r>
    <r>
      <rPr>
        <b/>
        <sz val="11"/>
        <color rgb="FFC00000"/>
        <rFont val="Times New Roman"/>
        <family val="1"/>
        <charset val="161"/>
      </rPr>
      <t>10&lt; έως 0</t>
    </r>
  </si>
  <si>
    <t xml:space="preserve">αν ο δεκαδικός&lt;0,000000001 ; 0 ; ο αριθμός </t>
  </si>
  <si>
    <t xml:space="preserve">αν το επάνω&gt;0,999999999 ; 0 ; Το επάνω </t>
  </si>
  <si>
    <t>Μοίρες-Ώρες = ο ακέραιος του</t>
  </si>
  <si>
    <t xml:space="preserve">  Αριθμός -Δεκαδικός  </t>
  </si>
  <si>
    <t>επάνω πίνακα</t>
  </si>
  <si>
    <t>Λεπτά = ο ακέραιος αυτου</t>
  </si>
  <si>
    <t xml:space="preserve">του πίνακα </t>
  </si>
  <si>
    <t>Δευτερόλεπτα= ο δεκαδικός</t>
  </si>
  <si>
    <t>αυτού του πίνακα * 60</t>
  </si>
  <si>
    <t>το επάνω * (-1)</t>
  </si>
  <si>
    <t xml:space="preserve">                  ΕΞΟΔΟΣ</t>
  </si>
  <si>
    <t>αν το επάνω&gt;100 ; 0 ; το επάνω</t>
  </si>
  <si>
    <t>στην Απόκλιση</t>
  </si>
  <si>
    <t>Έλεγχος αν είναι ή όχι κείμενο</t>
  </si>
  <si>
    <t xml:space="preserve">Έλεγχος για διαφορετικά πρόσημα στον </t>
  </si>
  <si>
    <t>κατάλογο - ΕΞΟΔΟΣ</t>
  </si>
  <si>
    <t>Έξοδοι προς τον κατάλογο</t>
  </si>
  <si>
    <t>Είσοδοι από τον κατάλογο</t>
  </si>
  <si>
    <t xml:space="preserve">                 Είσοδος ΑΠΟ</t>
  </si>
  <si>
    <t xml:space="preserve">               Είσοδος ΠΡΟΣ</t>
  </si>
  <si>
    <t xml:space="preserve">                                    Μοίρες-'Ωρες</t>
  </si>
  <si>
    <t xml:space="preserve">                                              Λεπτά</t>
  </si>
  <si>
    <t>αν isnumber=FALSE;1;0</t>
  </si>
  <si>
    <t>αν το άθροισμα&gt;0;"Μη ανα...";""</t>
  </si>
  <si>
    <t>Πρώτον. Αν είναι όλοι θετικοί.</t>
  </si>
  <si>
    <t>Η είσοδος στα παρακάτω γίνεται από τα γκρή κελιά</t>
  </si>
  <si>
    <t xml:space="preserve">αν Ώρες-Μοίρες&lt;0;0;1 </t>
  </si>
  <si>
    <t>αν Λεπτά&lt;0;0;1</t>
  </si>
  <si>
    <t>αν Δευτερόλεπτα&lt;0;0;1</t>
  </si>
  <si>
    <t>Άθροισμα των τριών επάνω</t>
  </si>
  <si>
    <t>αν άθροισμα=3;1;0</t>
  </si>
  <si>
    <t>Δεύτερον. Αν είναι όλοι αρνητικοί.</t>
  </si>
  <si>
    <t xml:space="preserve">αν Ώρες-Μοίρες&gt;0;0;1 </t>
  </si>
  <si>
    <t>αν Λεπτά&gt;0;0;1</t>
  </si>
  <si>
    <t>αν Δευτερόλεπτα&gt;0;0;1</t>
  </si>
  <si>
    <r>
      <t xml:space="preserve">άθροισμα των </t>
    </r>
    <r>
      <rPr>
        <sz val="11"/>
        <color rgb="FF00B050"/>
        <rFont val="Times New Roman"/>
        <family val="1"/>
        <charset val="161"/>
      </rPr>
      <t>πράσινων ΑΝ</t>
    </r>
  </si>
  <si>
    <t>αν το επάνω=0;"Βρεθηκαν...";""</t>
  </si>
  <si>
    <t>Ώρες μοίρες</t>
  </si>
  <si>
    <t xml:space="preserve">Λεπτά </t>
  </si>
  <si>
    <t>Δευτερόλεπτα/60</t>
  </si>
  <si>
    <t>το επάνω+λεπτα/60</t>
  </si>
  <si>
    <t>τοεπάνω+'Ωρες</t>
  </si>
  <si>
    <t>Εξοδος</t>
  </si>
  <si>
    <t>αν το άθροισμα των κόκκινων αν=0;0;1</t>
  </si>
  <si>
    <t>αν το άθροισμα των πράσινων αν=&gt;0;0;1</t>
  </si>
  <si>
    <t>αν άθροισμα=0;τογκρι;"" (Έξοδος)</t>
  </si>
  <si>
    <r>
      <t>Αν το κάτω =</t>
    </r>
    <r>
      <rPr>
        <sz val="11"/>
        <color rgb="FFFF0000"/>
        <rFont val="Times New Roman"/>
        <family val="1"/>
        <charset val="161"/>
      </rPr>
      <t>6</t>
    </r>
    <r>
      <rPr>
        <sz val="11"/>
        <color theme="1"/>
        <rFont val="Times New Roman"/>
        <family val="1"/>
        <charset val="161"/>
      </rPr>
      <t xml:space="preserve"> είναι κείμενο και πρέπει</t>
    </r>
  </si>
  <si>
    <r>
      <t xml:space="preserve">Αν το κάτω&lt;6 υπάρχουν </t>
    </r>
    <r>
      <rPr>
        <sz val="11"/>
        <color rgb="FFFF0000"/>
        <rFont val="Times New Roman"/>
        <family val="1"/>
        <charset val="161"/>
      </rPr>
      <t>Διαφορετικά</t>
    </r>
  </si>
  <si>
    <t xml:space="preserve">να μπεί στις θέσεις των συντεταγμένων </t>
  </si>
  <si>
    <r>
      <t>Πρόσημα!!!</t>
    </r>
    <r>
      <rPr>
        <sz val="11"/>
        <rFont val="Times New Roman"/>
        <family val="1"/>
        <charset val="161"/>
      </rPr>
      <t xml:space="preserve"> στις συντεταγμένες του ΑΠΟ.</t>
    </r>
  </si>
  <si>
    <t>του ΑΠΟ</t>
  </si>
  <si>
    <r>
      <t>Άθροισμα των τριών επάνω</t>
    </r>
    <r>
      <rPr>
        <sz val="11"/>
        <rFont val="Times New Roman"/>
        <family val="1"/>
        <charset val="161"/>
      </rPr>
      <t xml:space="preserve"> Ορθή Αναφορά</t>
    </r>
  </si>
  <si>
    <r>
      <t xml:space="preserve">Άθροισμα των τριών επάνω </t>
    </r>
    <r>
      <rPr>
        <sz val="11"/>
        <rFont val="Times New Roman"/>
        <family val="1"/>
        <charset val="161"/>
      </rPr>
      <t>Απόκλιση</t>
    </r>
  </si>
  <si>
    <t>άθροισμα των επάνω</t>
  </si>
  <si>
    <t>Δεδομένα</t>
  </si>
  <si>
    <t>Η μετάπτωση είναι 25796 χρόνια</t>
  </si>
  <si>
    <t>Η λόξωση της εκλειπτικής</t>
  </si>
  <si>
    <t>23 μοίρες 27 λεπτά - 23,45</t>
  </si>
  <si>
    <t>Isnumber</t>
  </si>
  <si>
    <t>αν το επάνω=FALSE;2000;το επάνω</t>
  </si>
  <si>
    <t>Ορθή αναφορά του 2000 (δεκαδικό)</t>
  </si>
  <si>
    <t>Απόκλιση του 2000 (δεκαδικό)</t>
  </si>
  <si>
    <t>Ορθή αναφορά</t>
  </si>
  <si>
    <t>2000 - χρονιά</t>
  </si>
  <si>
    <t>το επάνω/25796*24</t>
  </si>
  <si>
    <t>το επάνω + Ορθή αναφορά</t>
  </si>
  <si>
    <t>αν το επάνω&gt;24; Το επάνω;0</t>
  </si>
  <si>
    <t>το επάνω -24</t>
  </si>
  <si>
    <t>αν το επάνω=0;0;το επάνω</t>
  </si>
  <si>
    <t>αν το επάνω&gt;0;το επάνω;το ροζ</t>
  </si>
  <si>
    <t>Απόκληση</t>
  </si>
  <si>
    <t>ορθή αναφορά του 2000 *15</t>
  </si>
  <si>
    <t>ημ του επάνω</t>
  </si>
  <si>
    <t>το επάνω πράσινο*15</t>
  </si>
  <si>
    <t>διαφορά των δύο επάνω ημ</t>
  </si>
  <si>
    <t>ημίτονο λόξωσης</t>
  </si>
  <si>
    <t>ημ λόξωσης*διαφορά</t>
  </si>
  <si>
    <t>μετατροπή του επάνω σε μοίρες</t>
  </si>
  <si>
    <t>απόκλιση +το επάνω</t>
  </si>
  <si>
    <t>Από τα επάνω πράσινα στο πρόγραμμα</t>
  </si>
  <si>
    <t>μετατροπής δεκαδικού στο σύστημα</t>
  </si>
  <si>
    <t>Από τα κάτω λαδί στις οθόνες.</t>
  </si>
  <si>
    <t>αν το επάνω=0;το πράσινο Ορθής αναφοράς;""</t>
  </si>
  <si>
    <t>αν το κίτρινο=0;το πράσινο της απόκλισης ;""</t>
  </si>
  <si>
    <t>ΑΠΟ     Ορθή Αναφορα</t>
  </si>
  <si>
    <t>ΑΠΟ     Απόκλιση</t>
  </si>
  <si>
    <t>αρίθμησης Ωρών-Μοιρών και στο κυρίως λογισμικό</t>
  </si>
  <si>
    <t xml:space="preserve">Τα επάνω πράσινα στέλνονται στο πρόγραμμα </t>
  </si>
  <si>
    <t>και γυρίζουν</t>
  </si>
  <si>
    <t xml:space="preserve">Ώρες </t>
  </si>
  <si>
    <t xml:space="preserve">Δευτερόλεπτα </t>
  </si>
  <si>
    <t>ΠΡΟΣ     Ορθή Αναφορα</t>
  </si>
  <si>
    <t>ΠΡΟΣ    Απόκλιση</t>
  </si>
  <si>
    <t>Άθροισμα</t>
  </si>
  <si>
    <t xml:space="preserve">ΑΠΟ    </t>
  </si>
  <si>
    <t xml:space="preserve">ΠΡΟΣ    </t>
  </si>
  <si>
    <t>Τα κόκκινα από</t>
  </si>
  <si>
    <t>Λεπτα</t>
  </si>
  <si>
    <t>Προς οθόνες</t>
  </si>
  <si>
    <t>δφγ</t>
  </si>
  <si>
    <t>Να μην γραφεί τίποτα εδώ</t>
  </si>
  <si>
    <t>ΜΟΙΡΕΣ.........</t>
  </si>
  <si>
    <t>ΣΤΡΟΦΕΣ........</t>
  </si>
  <si>
    <t>Πίνακας Μηνυμάτων</t>
  </si>
  <si>
    <t xml:space="preserve">Βρέθηκαν διαφορετικά πρόσημα </t>
  </si>
  <si>
    <t>στην Ορθή Αναφορά του ΑΠΟ</t>
  </si>
  <si>
    <t>στην Ορθή Αναφορά του ΠΡΟΣ</t>
  </si>
  <si>
    <t>στην Απόκλιση του ΑΠΟ</t>
  </si>
  <si>
    <t>στην Απόκλιση του ΠΡΟΣ</t>
  </si>
  <si>
    <t>Έισοδος Lookup</t>
  </si>
  <si>
    <t>Ορθή Αναφορά&gt;24</t>
  </si>
  <si>
    <t>Απόκλιση&gt;90</t>
  </si>
  <si>
    <t>Απόκλιση&lt;-90</t>
  </si>
  <si>
    <t>Πίνακας λαθών στις καταχωρίσεις του καταλόγου</t>
  </si>
  <si>
    <t>αν το γκρι&lt;0;το γκρι ; 0</t>
  </si>
  <si>
    <t>Η Ορθή αναφορά &gt;24</t>
  </si>
  <si>
    <t>Η Ορθή αναφορά &lt;0</t>
  </si>
  <si>
    <t>Λάθος στην καταχώριση!!!</t>
  </si>
  <si>
    <t>Η Απόκλιση &gt;90 μοίρες</t>
  </si>
  <si>
    <t>Η Απόκλιση &lt;-90 μοίρες</t>
  </si>
  <si>
    <t>Κωδικός Λάθους</t>
  </si>
  <si>
    <t xml:space="preserve">             Κωδικός Λάθους</t>
  </si>
  <si>
    <t>Πλήθος Λαθών</t>
  </si>
  <si>
    <r>
      <t xml:space="preserve">   αν το επάνω&gt;1 ; 1000 ; </t>
    </r>
    <r>
      <rPr>
        <sz val="11"/>
        <color rgb="FFFF0000"/>
        <rFont val="Times New Roman"/>
        <family val="1"/>
        <charset val="161"/>
      </rPr>
      <t>Άθροισμα</t>
    </r>
  </si>
  <si>
    <t>αν το γκρι&gt;24 ; 3 ; 0</t>
  </si>
  <si>
    <t>αν το γκρι &lt;0 ; 4 ; 0</t>
  </si>
  <si>
    <t>αν το γκρί&gt;90; 5 ; 0</t>
  </si>
  <si>
    <t>αν το εοάνω &lt;-90 ; 6 ; 0</t>
  </si>
  <si>
    <t>Πλήθος Λαθών στον κατάλογο!</t>
  </si>
  <si>
    <t>Διαφορετικά πρόσημα</t>
  </si>
  <si>
    <t>ωωχ ζ</t>
  </si>
  <si>
    <t>ωωχ η</t>
  </si>
  <si>
    <t>ωωχ θ</t>
  </si>
  <si>
    <t>στην Ορθή Αναφορά</t>
  </si>
  <si>
    <t>ωωχ ι</t>
  </si>
  <si>
    <t>στον κατάλογο</t>
  </si>
  <si>
    <t xml:space="preserve">  Άθροισμα</t>
  </si>
  <si>
    <r>
      <t xml:space="preserve">αν άθροισμα των </t>
    </r>
    <r>
      <rPr>
        <sz val="11"/>
        <color rgb="FF00B050"/>
        <rFont val="Times New Roman"/>
        <family val="1"/>
        <charset val="161"/>
      </rPr>
      <t>πράσινων ΑΝ=0</t>
    </r>
    <r>
      <rPr>
        <sz val="11"/>
        <rFont val="Times New Roman"/>
        <family val="1"/>
        <charset val="161"/>
      </rPr>
      <t xml:space="preserve"> ; Λάθος </t>
    </r>
    <r>
      <rPr>
        <sz val="11"/>
        <color rgb="FFFF0000"/>
        <rFont val="Times New Roman"/>
        <family val="1"/>
        <charset val="161"/>
      </rPr>
      <t>1</t>
    </r>
  </si>
  <si>
    <r>
      <t xml:space="preserve">αν άθροισμα των </t>
    </r>
    <r>
      <rPr>
        <sz val="11"/>
        <color rgb="FF00B050"/>
        <rFont val="Times New Roman"/>
        <family val="1"/>
        <charset val="161"/>
      </rPr>
      <t>πράσινων ΑΝ=0</t>
    </r>
    <r>
      <rPr>
        <sz val="11"/>
        <rFont val="Times New Roman"/>
        <family val="1"/>
        <charset val="161"/>
      </rPr>
      <t xml:space="preserve"> ; Λάθος</t>
    </r>
    <r>
      <rPr>
        <sz val="11"/>
        <color rgb="FFFF0000"/>
        <rFont val="Times New Roman"/>
        <family val="1"/>
        <charset val="161"/>
      </rPr>
      <t xml:space="preserve"> 2</t>
    </r>
  </si>
  <si>
    <t>Κόβει τα αποτελέσματα αν διαπιστωθούν λάθη στις</t>
  </si>
  <si>
    <t>καταχωρίσεις τους καταλόγου</t>
  </si>
  <si>
    <r>
      <t>Πίνακας Μηνυμάτων</t>
    </r>
    <r>
      <rPr>
        <b/>
        <sz val="11"/>
        <color rgb="FFFFFF00"/>
        <rFont val="Times New Roman"/>
        <family val="1"/>
        <charset val="161"/>
      </rPr>
      <t xml:space="preserve">  ΠΡΟΣ</t>
    </r>
  </si>
  <si>
    <r>
      <t xml:space="preserve">Πίνακας Μηνυμάτων  </t>
    </r>
    <r>
      <rPr>
        <b/>
        <sz val="11"/>
        <color theme="0"/>
        <rFont val="Times New Roman"/>
        <family val="1"/>
        <charset val="161"/>
      </rPr>
      <t>ΑΠΟ</t>
    </r>
  </si>
  <si>
    <t xml:space="preserve">                                               Άθροισμα των δύο επάνω</t>
  </si>
  <si>
    <t xml:space="preserve">Αποτελέσματα </t>
  </si>
  <si>
    <t xml:space="preserve"> Ορθής αναφοράς</t>
  </si>
  <si>
    <t>αν άθροισμα = 0 ;  Λεπτά ;""</t>
  </si>
  <si>
    <t>αν άθροισμα = 0 ;  Στροφές ; ""</t>
  </si>
  <si>
    <t>αν άθροισμα = 0 ;  Μήνυμα ; ""</t>
  </si>
  <si>
    <t>Αποτελέσματα</t>
  </si>
  <si>
    <t xml:space="preserve"> Απόκλισης</t>
  </si>
  <si>
    <t>αν άθροισμα = 0 ;  Μοίρες ;""</t>
  </si>
  <si>
    <r>
      <t xml:space="preserve">αν </t>
    </r>
    <r>
      <rPr>
        <sz val="11"/>
        <color rgb="FFFF0000"/>
        <rFont val="Times New Roman"/>
        <family val="1"/>
        <charset val="161"/>
      </rPr>
      <t>άθροισμα=0</t>
    </r>
    <r>
      <rPr>
        <sz val="11"/>
        <rFont val="Times New Roman"/>
        <family val="1"/>
        <charset val="161"/>
      </rPr>
      <t xml:space="preserve"> ; λευκά στροφές ; ""</t>
    </r>
  </si>
  <si>
    <r>
      <t xml:space="preserve">αν </t>
    </r>
    <r>
      <rPr>
        <sz val="11"/>
        <color rgb="FFFF0000"/>
        <rFont val="Times New Roman"/>
        <family val="1"/>
        <charset val="161"/>
      </rPr>
      <t>άθροισμα=0</t>
    </r>
    <r>
      <rPr>
        <sz val="11"/>
        <rFont val="Times New Roman"/>
        <family val="1"/>
        <charset val="161"/>
      </rPr>
      <t xml:space="preserve"> ; λευκά λεπτά ; ""</t>
    </r>
  </si>
  <si>
    <r>
      <t xml:space="preserve">αν </t>
    </r>
    <r>
      <rPr>
        <sz val="11"/>
        <color rgb="FFFF0000"/>
        <rFont val="Times New Roman"/>
        <family val="1"/>
        <charset val="161"/>
      </rPr>
      <t>άθροισμα=0</t>
    </r>
    <r>
      <rPr>
        <sz val="11"/>
        <rFont val="Times New Roman"/>
        <family val="1"/>
        <charset val="161"/>
      </rPr>
      <t xml:space="preserve"> ; λευκά κείμενο ; ""</t>
    </r>
  </si>
  <si>
    <r>
      <t xml:space="preserve">αν </t>
    </r>
    <r>
      <rPr>
        <sz val="11"/>
        <color rgb="FFFF0000"/>
        <rFont val="Times New Roman"/>
        <family val="1"/>
        <charset val="161"/>
      </rPr>
      <t>άθροισμα=0</t>
    </r>
    <r>
      <rPr>
        <sz val="11"/>
        <rFont val="Times New Roman"/>
        <family val="1"/>
        <charset val="161"/>
      </rPr>
      <t xml:space="preserve"> ; λευκά μοίρες ; ""</t>
    </r>
  </si>
  <si>
    <t xml:space="preserve">                                             Είσοδος</t>
  </si>
  <si>
    <t xml:space="preserve">ΑΠΟ Κείμενα λαθών στίς δύο επάνω σειρές της Οθόνης </t>
  </si>
  <si>
    <t xml:space="preserve">ΠΡΟΣ  Κείμενα λαθών στίς δύο επάνω σειρές της Οθόνης </t>
  </si>
  <si>
    <t>όλο το φύλο του Excel μέχρι κάτω.</t>
  </si>
  <si>
    <t>Προσοχή!!! Να μην γραφτεί τίποτα από εδώ και κάτω.</t>
  </si>
  <si>
    <t>Έξοδος προς το πρόγραμμα</t>
  </si>
  <si>
    <t>Δεκαδικό</t>
  </si>
  <si>
    <t>Πίνακας επιλογών</t>
  </si>
  <si>
    <t>Θέλουμε να εμφανίζονται οι συντεταγμένες από τον κατάλογο όταν:</t>
  </si>
  <si>
    <t>Πρώτον: Υπάρχει λάθος στην καταχώρηση τους.</t>
  </si>
  <si>
    <t>:</t>
  </si>
  <si>
    <t xml:space="preserve">Δεύτερον: Είναι κείμενο. </t>
  </si>
  <si>
    <t>Θέλουμε να εμφανίζονται οι συντεταγμένες από το πρόγραμμα της Μετάπτωσης όταν</t>
  </si>
  <si>
    <t>συμβαίνει η αντίθετη συνθήκη.</t>
  </si>
  <si>
    <t>Επιλογή</t>
  </si>
  <si>
    <r>
      <t xml:space="preserve">Επιλογή </t>
    </r>
    <r>
      <rPr>
        <b/>
        <sz val="11"/>
        <color rgb="FFC00000"/>
        <rFont val="Times New Roman"/>
        <family val="1"/>
        <charset val="161"/>
      </rPr>
      <t>1</t>
    </r>
    <r>
      <rPr>
        <b/>
        <sz val="11"/>
        <color theme="1"/>
        <rFont val="Times New Roman"/>
        <family val="1"/>
        <charset val="161"/>
      </rPr>
      <t xml:space="preserve"> </t>
    </r>
  </si>
  <si>
    <r>
      <t xml:space="preserve">Επιλογή </t>
    </r>
    <r>
      <rPr>
        <b/>
        <sz val="11"/>
        <color rgb="FFC00000"/>
        <rFont val="Times New Roman"/>
        <family val="1"/>
        <charset val="161"/>
      </rPr>
      <t>2</t>
    </r>
    <r>
      <rPr>
        <b/>
        <sz val="11"/>
        <color theme="1"/>
        <rFont val="Times New Roman"/>
        <family val="1"/>
        <charset val="161"/>
      </rPr>
      <t xml:space="preserve"> </t>
    </r>
  </si>
  <si>
    <t xml:space="preserve">Επιλογές </t>
  </si>
  <si>
    <t>από Μετατροπή Μοιρών-Ωρών στο δεκαδικό</t>
  </si>
  <si>
    <t xml:space="preserve">   από    Πλήθος Λαθών του ΑΠΟ</t>
  </si>
  <si>
    <t xml:space="preserve">                    Πλήθος Λαθών του ΑΠΟ</t>
  </si>
  <si>
    <t>Άν το επάνω =6 ; 1 ; 0</t>
  </si>
  <si>
    <t>αν το επάνω&gt;0 ; 1 ; 0</t>
  </si>
  <si>
    <t>άθροισμα των γκρι</t>
  </si>
  <si>
    <t>αν άθροισμα&gt;0 ; 1 ; 2</t>
  </si>
  <si>
    <t xml:space="preserve">   από    Πλήθος Λαθών του ΠΡΟΣ</t>
  </si>
  <si>
    <r>
      <t xml:space="preserve">ΑΠΟ Ορθή Αναφορά </t>
    </r>
    <r>
      <rPr>
        <b/>
        <sz val="11"/>
        <color rgb="FFC00000"/>
        <rFont val="Times New Roman"/>
        <family val="1"/>
        <charset val="161"/>
      </rPr>
      <t>Δεκαδικό</t>
    </r>
    <r>
      <rPr>
        <b/>
        <sz val="11"/>
        <color theme="0"/>
        <rFont val="Times New Roman"/>
        <family val="1"/>
        <charset val="161"/>
      </rPr>
      <t xml:space="preserve"> </t>
    </r>
  </si>
  <si>
    <r>
      <t xml:space="preserve">ΑΠΟ Απόκλιση           </t>
    </r>
    <r>
      <rPr>
        <b/>
        <sz val="11"/>
        <color rgb="FFC00000"/>
        <rFont val="Times New Roman"/>
        <family val="1"/>
        <charset val="161"/>
      </rPr>
      <t>Δεκαδικό</t>
    </r>
  </si>
  <si>
    <t xml:space="preserve">ΠΡΟΣ Ορθή Αναφορά Δεκαδικό </t>
  </si>
  <si>
    <t>Αν είναι επιλογή 2 από Μετάπτωση.</t>
  </si>
  <si>
    <t>Κείμενα............</t>
  </si>
  <si>
    <r>
      <t xml:space="preserve">ΑΠΟ Απόκλιση         </t>
    </r>
    <r>
      <rPr>
        <b/>
        <sz val="11"/>
        <color rgb="FFC00000"/>
        <rFont val="Times New Roman"/>
        <family val="1"/>
        <charset val="161"/>
      </rPr>
      <t>Δεκαδικό</t>
    </r>
  </si>
  <si>
    <t>ΠΡΟΣ Απόκλιση          Δεκαδικό</t>
  </si>
  <si>
    <t>ΠΡΟΣ Απόκλιση         Δεκαδικό</t>
  </si>
  <si>
    <t xml:space="preserve">                             αν το δίπλα =0 ; 0 ; 1</t>
  </si>
  <si>
    <t>γράμματα</t>
  </si>
  <si>
    <t>κλ</t>
  </si>
  <si>
    <t>Αποτελέσματα Ορθής Αναφοράς</t>
  </si>
  <si>
    <t>Αποτελέσματα Απόκλισης</t>
  </si>
  <si>
    <t xml:space="preserve">Μ57 Πλανητικό Νεφέλωμα Ευρυδίκη </t>
  </si>
  <si>
    <t>Δακτυλιοειδές. 2.300 LY</t>
  </si>
  <si>
    <t>ωωωωωω</t>
  </si>
  <si>
    <t>ΑΣΤΡΟ Ευθυγράμμισης.........................................</t>
  </si>
  <si>
    <t>αν το επάνω = καινό ; Ωωωωωω ; Το επάνω</t>
  </si>
  <si>
    <t xml:space="preserve">                     Έτος...........</t>
  </si>
  <si>
    <r>
      <t xml:space="preserve">                    Έτος </t>
    </r>
    <r>
      <rPr>
        <b/>
        <sz val="11"/>
        <rFont val="Times New Roman"/>
        <family val="1"/>
        <charset val="161"/>
      </rPr>
      <t>..................</t>
    </r>
  </si>
  <si>
    <t>ΚΑΤΑΛΟΓΟΙ</t>
  </si>
  <si>
    <t>Κατάλογος Αστερισμών - κωδικών</t>
  </si>
  <si>
    <t>ΚΩΔΙΚΟΣ</t>
  </si>
  <si>
    <t>Αιγόκερως</t>
  </si>
  <si>
    <t>Αλεπού</t>
  </si>
  <si>
    <t>Ασπίς</t>
  </si>
  <si>
    <t>Βοωτής</t>
  </si>
  <si>
    <t>Δελφίν</t>
  </si>
  <si>
    <t>Δελφίνι</t>
  </si>
  <si>
    <t>Δράκος</t>
  </si>
  <si>
    <t>Εξάντας</t>
  </si>
  <si>
    <t>Εξάς</t>
  </si>
  <si>
    <t>Ιππάριον</t>
  </si>
  <si>
    <t>Καμηλοπάρδαλη</t>
  </si>
  <si>
    <t>Καμηλοπάρδαλις</t>
  </si>
  <si>
    <t>Κηφεύς</t>
  </si>
  <si>
    <t>Κόραξ</t>
  </si>
  <si>
    <t>Κρατήρας</t>
  </si>
  <si>
    <t>Λίγκας</t>
  </si>
  <si>
    <t>Λύγξ</t>
  </si>
  <si>
    <t>Μικροσκόπιο</t>
  </si>
  <si>
    <t>Μονόκερως</t>
  </si>
  <si>
    <t>Νότιος Στέφανος</t>
  </si>
  <si>
    <t>Περιστερά</t>
  </si>
  <si>
    <t>Περσεύς</t>
  </si>
  <si>
    <t>Πρύμνη</t>
  </si>
  <si>
    <t>Πυξίδα</t>
  </si>
  <si>
    <t>Τρίγωνον</t>
  </si>
  <si>
    <t>Τροπίδα</t>
  </si>
  <si>
    <t>Ωρίων</t>
  </si>
  <si>
    <t>ΩΩ</t>
  </si>
  <si>
    <t>ΩΩΩ</t>
  </si>
  <si>
    <t>ΩΩΩΩ</t>
  </si>
  <si>
    <t>Κατάλογος 2</t>
  </si>
  <si>
    <t>ΚΑΤΑΛΟΓΟΣ 2</t>
  </si>
  <si>
    <t>Κατόλογος 2</t>
  </si>
  <si>
    <t xml:space="preserve">LOOKUP 4                ΚΑΤΑΛΟΣ 2                       </t>
  </si>
  <si>
    <t>Κωδικός</t>
  </si>
  <si>
    <t>ωρίων</t>
  </si>
  <si>
    <t>Αν Τελικό άθροισμα=12; Χακί κείμενο ; "Διαφορετικά πρόσημα"</t>
  </si>
  <si>
    <t>Αν Τελικό άθροισμα=12; Χακί στροφές ; ""</t>
  </si>
  <si>
    <t xml:space="preserve">                  Γράφουμε κάτω</t>
  </si>
  <si>
    <t xml:space="preserve">                      Γράφουμε κάτω</t>
  </si>
  <si>
    <t>α</t>
  </si>
  <si>
    <t>Το πληκτρολόγιο πρέπει να είναι στα ΕΛΛΗΝΙΚΑ!</t>
  </si>
  <si>
    <t>Ο πρώτος χαρακτήρας δεν πρέπει να είναι αριθμός</t>
  </si>
  <si>
    <r>
      <t xml:space="preserve">αν άθροισμα των </t>
    </r>
    <r>
      <rPr>
        <sz val="11"/>
        <color rgb="FF00B050"/>
        <rFont val="Times New Roman"/>
        <family val="1"/>
        <charset val="161"/>
      </rPr>
      <t>πράσινων ΑΝ=0</t>
    </r>
    <r>
      <rPr>
        <sz val="11"/>
        <rFont val="Times New Roman"/>
        <family val="1"/>
        <charset val="161"/>
      </rPr>
      <t xml:space="preserve"> ; Λάθος </t>
    </r>
    <r>
      <rPr>
        <sz val="11"/>
        <color rgb="FFFF0000"/>
        <rFont val="Times New Roman"/>
        <family val="1"/>
        <charset val="161"/>
      </rPr>
      <t xml:space="preserve">1  </t>
    </r>
    <r>
      <rPr>
        <sz val="11"/>
        <rFont val="Times New Roman"/>
        <family val="1"/>
        <charset val="161"/>
      </rPr>
      <t>Ορθή αν. ΑΠΟ</t>
    </r>
  </si>
  <si>
    <r>
      <t xml:space="preserve">αν άθροισμα των </t>
    </r>
    <r>
      <rPr>
        <sz val="11"/>
        <color rgb="FF00B050"/>
        <rFont val="Times New Roman"/>
        <family val="1"/>
        <charset val="161"/>
      </rPr>
      <t>πράσινων ΑΝ=0</t>
    </r>
    <r>
      <rPr>
        <sz val="11"/>
        <rFont val="Times New Roman"/>
        <family val="1"/>
        <charset val="161"/>
      </rPr>
      <t xml:space="preserve"> ; Λάθος </t>
    </r>
    <r>
      <rPr>
        <sz val="11"/>
        <color rgb="FFFF0000"/>
        <rFont val="Times New Roman"/>
        <family val="1"/>
        <charset val="161"/>
      </rPr>
      <t xml:space="preserve">1 </t>
    </r>
    <r>
      <rPr>
        <sz val="11"/>
        <rFont val="Times New Roman"/>
        <family val="1"/>
        <charset val="161"/>
      </rPr>
      <t>Απόκλιση ΑΠΟ</t>
    </r>
  </si>
  <si>
    <r>
      <t xml:space="preserve">αν άθροισμα των </t>
    </r>
    <r>
      <rPr>
        <sz val="11"/>
        <color rgb="FF00B050"/>
        <rFont val="Times New Roman"/>
        <family val="1"/>
        <charset val="161"/>
      </rPr>
      <t>πράσινων ΑΝ=0</t>
    </r>
    <r>
      <rPr>
        <sz val="11"/>
        <rFont val="Times New Roman"/>
        <family val="1"/>
        <charset val="161"/>
      </rPr>
      <t xml:space="preserve"> ; Λάθος </t>
    </r>
    <r>
      <rPr>
        <sz val="11"/>
        <color rgb="FFFF0000"/>
        <rFont val="Times New Roman"/>
        <family val="1"/>
        <charset val="161"/>
      </rPr>
      <t xml:space="preserve">1  </t>
    </r>
    <r>
      <rPr>
        <sz val="11"/>
        <rFont val="Times New Roman"/>
        <family val="1"/>
        <charset val="161"/>
      </rPr>
      <t>Ορθή αν. ΠΡΟΣ</t>
    </r>
  </si>
  <si>
    <r>
      <t xml:space="preserve">αν άθροισμα των </t>
    </r>
    <r>
      <rPr>
        <sz val="11"/>
        <color rgb="FF00B050"/>
        <rFont val="Times New Roman"/>
        <family val="1"/>
        <charset val="161"/>
      </rPr>
      <t>πράσινων ΑΝ=0</t>
    </r>
    <r>
      <rPr>
        <sz val="11"/>
        <rFont val="Times New Roman"/>
        <family val="1"/>
        <charset val="161"/>
      </rPr>
      <t xml:space="preserve"> ; Λάθος </t>
    </r>
    <r>
      <rPr>
        <sz val="11"/>
        <color rgb="FFFF0000"/>
        <rFont val="Times New Roman"/>
        <family val="1"/>
        <charset val="161"/>
      </rPr>
      <t xml:space="preserve">1 </t>
    </r>
    <r>
      <rPr>
        <sz val="11"/>
        <rFont val="Times New Roman"/>
        <family val="1"/>
        <charset val="161"/>
      </rPr>
      <t xml:space="preserve"> Απόκλιση ΑΠΟ</t>
    </r>
  </si>
  <si>
    <t xml:space="preserve">                                                                                             Άθροισμα</t>
  </si>
  <si>
    <t>Αν  άθροισμα =0 ; Χακί λεπτά ; "Βρέθηκαν"</t>
  </si>
  <si>
    <t>Αν  άθροισμα =0 ; Χακί μοίρες ; "Βρέθηκαν"</t>
  </si>
  <si>
    <t>αν ΑΠΟ-ΠΡΟΣ=12 Ώρες ; 1 ; 0</t>
  </si>
  <si>
    <t>αν ΑΠΟ-ΠΡΟΣ=-12 Ώρες ; 1 ; 0</t>
  </si>
  <si>
    <t xml:space="preserve">                                                                                             άθροισμα</t>
  </si>
  <si>
    <r>
      <t>το επάνω είναι το Λάθος</t>
    </r>
    <r>
      <rPr>
        <sz val="11"/>
        <color rgb="FFFF0000"/>
        <rFont val="Times New Roman"/>
        <family val="1"/>
        <charset val="161"/>
      </rPr>
      <t xml:space="preserve"> 8</t>
    </r>
  </si>
  <si>
    <t>Ορθή Αναφορά&lt;0</t>
  </si>
  <si>
    <t>Αντιδιαμετρικοί στόχοι.</t>
  </si>
  <si>
    <t>Πέραν δυνατοτήτων του προγράμματος</t>
  </si>
  <si>
    <r>
      <t xml:space="preserve">Αντιδιαμετρικοί στόχοι. </t>
    </r>
    <r>
      <rPr>
        <sz val="11"/>
        <rFont val="Times New Roman"/>
        <family val="1"/>
        <charset val="161"/>
      </rPr>
      <t>(Δεν τους υπολογίζει)</t>
    </r>
  </si>
  <si>
    <t>άν το άθροισμα=8 ; "Αντιδιαμετρικοί στόχοι..." ; ""</t>
  </si>
  <si>
    <t>Αντιδιαμετρικοί</t>
  </si>
  <si>
    <t>στόχοι</t>
  </si>
  <si>
    <t>Τελευταία</t>
  </si>
  <si>
    <t>ενημέρωση</t>
  </si>
  <si>
    <t>Τέλος</t>
  </si>
  <si>
    <t xml:space="preserve">Ο ΚΑΤΑΛΟΓΟΣ 1   πιάνει από το Α έως και το Ζ </t>
  </si>
  <si>
    <t xml:space="preserve">     </t>
  </si>
  <si>
    <t>Δεκαδικό*60</t>
  </si>
  <si>
    <t xml:space="preserve">. </t>
  </si>
  <si>
    <t>Λογισμικό Καταλόγου</t>
  </si>
  <si>
    <t>Ασρερισμός</t>
  </si>
  <si>
    <t>1) Μηνύματα για σφάλματα</t>
  </si>
  <si>
    <t xml:space="preserve">                                            Είσοδος</t>
  </si>
  <si>
    <t>Όνομα Αστερισμού</t>
  </si>
  <si>
    <t>στα Ελληνικά</t>
  </si>
  <si>
    <t>Στα Λατινικά</t>
  </si>
  <si>
    <t>πληκτρολόγησης</t>
  </si>
  <si>
    <t>Α</t>
  </si>
  <si>
    <t>Αετος</t>
  </si>
  <si>
    <t>Aquila   Aql</t>
  </si>
  <si>
    <t xml:space="preserve">Lookup Όνομα/Όνομα </t>
  </si>
  <si>
    <t>Αιγοκερος</t>
  </si>
  <si>
    <t>Capricornus    Cap</t>
  </si>
  <si>
    <t>Αιγοκερως</t>
  </si>
  <si>
    <t>Αλεπου</t>
  </si>
  <si>
    <t>Vulpecula   Vul</t>
  </si>
  <si>
    <t>Αλωπηξ</t>
  </si>
  <si>
    <r>
      <t>Lookup Όνομα/</t>
    </r>
    <r>
      <rPr>
        <sz val="11"/>
        <color rgb="FF0070C0"/>
        <rFont val="Times New Roman"/>
        <family val="1"/>
        <charset val="161"/>
      </rPr>
      <t>Αστερισμός Ελληνικά</t>
    </r>
  </si>
  <si>
    <r>
      <t>Lookup Όνομα/</t>
    </r>
    <r>
      <rPr>
        <sz val="11"/>
        <color theme="9" tint="-0.249977111117893"/>
        <rFont val="Times New Roman"/>
        <family val="1"/>
        <charset val="161"/>
      </rPr>
      <t>Αστερισμός Λατινικά</t>
    </r>
  </si>
  <si>
    <t>Ανδρομεδα</t>
  </si>
  <si>
    <r>
      <t xml:space="preserve">Lookup Όνομα/ </t>
    </r>
    <r>
      <rPr>
        <sz val="11"/>
        <color rgb="FF00B050"/>
        <rFont val="Times New Roman"/>
        <family val="1"/>
        <charset val="161"/>
      </rPr>
      <t>Κωδικός</t>
    </r>
  </si>
  <si>
    <r>
      <t xml:space="preserve">Lookup Όνομα/ </t>
    </r>
    <r>
      <rPr>
        <sz val="11"/>
        <color rgb="FFFF0000"/>
        <rFont val="Times New Roman"/>
        <family val="1"/>
        <charset val="161"/>
      </rPr>
      <t>Σφάλματα πληκτρολόγησης</t>
    </r>
  </si>
  <si>
    <t>Αντλια</t>
  </si>
  <si>
    <t>Antlia   Ant</t>
  </si>
  <si>
    <t>Αστερισμός Ελληνικά</t>
  </si>
  <si>
    <t>Ασπιδα</t>
  </si>
  <si>
    <t>Scutum   Sct</t>
  </si>
  <si>
    <t>αν το επάνω=0 ; "" ; Το επάνω</t>
  </si>
  <si>
    <t>Αστερισμός Λατινικά</t>
  </si>
  <si>
    <t>Ασπις</t>
  </si>
  <si>
    <r>
      <t xml:space="preserve"> </t>
    </r>
    <r>
      <rPr>
        <sz val="11"/>
        <color rgb="FF00B050"/>
        <rFont val="Times New Roman"/>
        <family val="1"/>
        <charset val="161"/>
      </rPr>
      <t>Κωδικός</t>
    </r>
  </si>
  <si>
    <t>Βελος</t>
  </si>
  <si>
    <t>Saggitta   Sge</t>
  </si>
  <si>
    <t xml:space="preserve">Βελ </t>
  </si>
  <si>
    <t>Σφάλματα πληκτρολόγησης</t>
  </si>
  <si>
    <t>Βορειος Στεφανος</t>
  </si>
  <si>
    <t>Corona Borealis   CrB</t>
  </si>
  <si>
    <t>Βορειος Στέφανος</t>
  </si>
  <si>
    <t>Βόρειος Στεφανος</t>
  </si>
  <si>
    <t>Βοωτης</t>
  </si>
  <si>
    <t>Bootes   Boo</t>
  </si>
  <si>
    <t>Βωμος</t>
  </si>
  <si>
    <t>Ara   Ara</t>
  </si>
  <si>
    <t>Γερανος</t>
  </si>
  <si>
    <t>Grus   Gru</t>
  </si>
  <si>
    <t>Γλυπτης</t>
  </si>
  <si>
    <t>Sculptor   Scl</t>
  </si>
  <si>
    <t>Γνωμων</t>
  </si>
  <si>
    <t>Norma Nor</t>
  </si>
  <si>
    <t>Δελφιν</t>
  </si>
  <si>
    <t>Delphinus Del</t>
  </si>
  <si>
    <t>Δελφινα</t>
  </si>
  <si>
    <t>Δελφίνα</t>
  </si>
  <si>
    <t>Δελφινι</t>
  </si>
  <si>
    <t>Διδυμοι</t>
  </si>
  <si>
    <t>Gemini   Gem</t>
  </si>
  <si>
    <t>Δρακοντας</t>
  </si>
  <si>
    <t>Draco   Dra</t>
  </si>
  <si>
    <t>Δράκοντας</t>
  </si>
  <si>
    <t>Δρακος</t>
  </si>
  <si>
    <t>Δρακων</t>
  </si>
  <si>
    <t>Εξαντας</t>
  </si>
  <si>
    <t>Sextans   Sex</t>
  </si>
  <si>
    <t>Εξας</t>
  </si>
  <si>
    <t>Ζυγος</t>
  </si>
  <si>
    <t>Libra   Lib</t>
  </si>
  <si>
    <t xml:space="preserve">Ζυγ </t>
  </si>
  <si>
    <t>Ηνιοχος</t>
  </si>
  <si>
    <t>Auriga   Aur</t>
  </si>
  <si>
    <t>Ηρακλης</t>
  </si>
  <si>
    <t>Hercules Her</t>
  </si>
  <si>
    <t>Ηριδανος</t>
  </si>
  <si>
    <t>Eridanus   Eri</t>
  </si>
  <si>
    <t>Θηρευτικοι Κυνες</t>
  </si>
  <si>
    <t xml:space="preserve">Canes Venatici   CVn  </t>
  </si>
  <si>
    <t>Θηρευτικοι Κύνες</t>
  </si>
  <si>
    <t>Θηρευτικοί Κυνες</t>
  </si>
  <si>
    <t>Ιππαριο</t>
  </si>
  <si>
    <t>Equuleus   Equ</t>
  </si>
  <si>
    <t>Ιππαριον</t>
  </si>
  <si>
    <t>Ιστια</t>
  </si>
  <si>
    <t>Vela   Vel</t>
  </si>
  <si>
    <t>Ιχθυες</t>
  </si>
  <si>
    <t>Ιχθυς</t>
  </si>
  <si>
    <t>Καμηλοπαρδαλη</t>
  </si>
  <si>
    <t>Camelopardalis   Cam</t>
  </si>
  <si>
    <t>Καμηλοπαρδαλης</t>
  </si>
  <si>
    <t>Καμηλοπαρδαλις</t>
  </si>
  <si>
    <t>Καμινος</t>
  </si>
  <si>
    <t>Foranax   For</t>
  </si>
  <si>
    <t>Καρκινος</t>
  </si>
  <si>
    <t>Canser   Cnc</t>
  </si>
  <si>
    <t xml:space="preserve">Καρ </t>
  </si>
  <si>
    <t>Κασιοπη</t>
  </si>
  <si>
    <t>Cassiopeia   Cas</t>
  </si>
  <si>
    <t>Κασιόπη</t>
  </si>
  <si>
    <t>Κασσιοπη</t>
  </si>
  <si>
    <t>Κενταυρος</t>
  </si>
  <si>
    <t>Centaurus   Cen</t>
  </si>
  <si>
    <t>Κητος</t>
  </si>
  <si>
    <t>Cetus Cet</t>
  </si>
  <si>
    <t>Κηφεας</t>
  </si>
  <si>
    <t>Cepheus   Cep</t>
  </si>
  <si>
    <t>Κηφευς</t>
  </si>
  <si>
    <t>Κομη</t>
  </si>
  <si>
    <t>Κόμη (Βερενίκης)</t>
  </si>
  <si>
    <t>Coma (Beronices)   Com</t>
  </si>
  <si>
    <t>Κομη Βερενίκης</t>
  </si>
  <si>
    <t>Κόμη Βερενικης</t>
  </si>
  <si>
    <t>Κορακας</t>
  </si>
  <si>
    <t>Corvus   Crv</t>
  </si>
  <si>
    <t>Κοραξ</t>
  </si>
  <si>
    <t>Κρατηρ</t>
  </si>
  <si>
    <t>Crater Crt</t>
  </si>
  <si>
    <t>Κρατηρας</t>
  </si>
  <si>
    <t>Κριος</t>
  </si>
  <si>
    <t>Aries   Ari</t>
  </si>
  <si>
    <t>Κυκνος</t>
  </si>
  <si>
    <t>Cygnus   Cyg</t>
  </si>
  <si>
    <t>Λαγος</t>
  </si>
  <si>
    <t>Λαγοώς</t>
  </si>
  <si>
    <t>Lepus   Lep</t>
  </si>
  <si>
    <t xml:space="preserve">Λαγ </t>
  </si>
  <si>
    <t>Λαγοως</t>
  </si>
  <si>
    <t>Λεων</t>
  </si>
  <si>
    <t>Leo   Leo</t>
  </si>
  <si>
    <t>Λιγκας</t>
  </si>
  <si>
    <t>Lynx   Lyn</t>
  </si>
  <si>
    <t>Λυγκας</t>
  </si>
  <si>
    <t>Λυγξ</t>
  </si>
  <si>
    <t>Λυκος</t>
  </si>
  <si>
    <t>Lupus   Lup</t>
  </si>
  <si>
    <t>Λυρα</t>
  </si>
  <si>
    <t>Lyra   Lyr</t>
  </si>
  <si>
    <t>Μεγαλη Αρκτος</t>
  </si>
  <si>
    <t>Ursa Major   Uma</t>
  </si>
  <si>
    <t>Μεγαλη Άρκτος</t>
  </si>
  <si>
    <t>Μεγάλη Αρκτος</t>
  </si>
  <si>
    <t>Μεγαλος Κυνας</t>
  </si>
  <si>
    <t>Canis Major   Cma</t>
  </si>
  <si>
    <t>Μεγαλος Κύνας</t>
  </si>
  <si>
    <t>Μεγάλος Κυνας</t>
  </si>
  <si>
    <t>Μεγάλος Κύνας</t>
  </si>
  <si>
    <t>Μεγαλος Κυων</t>
  </si>
  <si>
    <t>Μεγαλος Κύων</t>
  </si>
  <si>
    <t>Μεγάλος Κυων</t>
  </si>
  <si>
    <t>Μεγάλος Κύων</t>
  </si>
  <si>
    <t>Μεγαλος Σκυλος</t>
  </si>
  <si>
    <t>Μεγαλος Σκύλος</t>
  </si>
  <si>
    <t>Μεγάλος Σκυλος</t>
  </si>
  <si>
    <t>Μεγάλος Σκύλος</t>
  </si>
  <si>
    <t>Μεγας Κυνας</t>
  </si>
  <si>
    <t>Μεγας Κύνας</t>
  </si>
  <si>
    <t>Μέγας Κυνας</t>
  </si>
  <si>
    <t>Μέγας Κύνας</t>
  </si>
  <si>
    <t>Μεγας Κυων</t>
  </si>
  <si>
    <t>Μεγας Κύων</t>
  </si>
  <si>
    <t>Μέγας Κυων</t>
  </si>
  <si>
    <t>Μικρη Αρκτος</t>
  </si>
  <si>
    <t>Ursa Minor   Umi</t>
  </si>
  <si>
    <t>Μικρη Άρκτος</t>
  </si>
  <si>
    <t>Μικρή Αρκτος</t>
  </si>
  <si>
    <t>Μικρος Κυνας</t>
  </si>
  <si>
    <t>Canis Minor   Cmi</t>
  </si>
  <si>
    <t>Μικρος Κύνας</t>
  </si>
  <si>
    <t>Μικρός Κυνας</t>
  </si>
  <si>
    <t>Μικρός Κύνας</t>
  </si>
  <si>
    <t>Μικρος Κυων</t>
  </si>
  <si>
    <t>Μικρος Κύων</t>
  </si>
  <si>
    <t>Μικρός Κυων</t>
  </si>
  <si>
    <t>Μικρος Λεων</t>
  </si>
  <si>
    <t>Leo Minor   Lmi</t>
  </si>
  <si>
    <t>Μικρος Λέων</t>
  </si>
  <si>
    <t>Μικρός Λεων</t>
  </si>
  <si>
    <t>Μικρος Σκυλος</t>
  </si>
  <si>
    <t>Μικρος Σκύλος</t>
  </si>
  <si>
    <t>Μικρός Σκυλος</t>
  </si>
  <si>
    <t>Μικρός Σκύλος</t>
  </si>
  <si>
    <t>Μικροσκοπιο</t>
  </si>
  <si>
    <t>Microscopium   Mic</t>
  </si>
  <si>
    <t>Μικροσκοπιον</t>
  </si>
  <si>
    <t>Μονοκερος</t>
  </si>
  <si>
    <t>Monoceros   Mon</t>
  </si>
  <si>
    <t>Μονοκερως</t>
  </si>
  <si>
    <t>Νοτιος ιχθυς</t>
  </si>
  <si>
    <t>Piscis Austrinus   PsA</t>
  </si>
  <si>
    <t>Νοτιος ιχθύς</t>
  </si>
  <si>
    <t>Νότιος Ιχθυς</t>
  </si>
  <si>
    <t>Νοτιος Στεφανος</t>
  </si>
  <si>
    <t>Νοτιος Στέφανος</t>
  </si>
  <si>
    <t>Νότιος Στεφανος</t>
  </si>
  <si>
    <t>Οφιουχος</t>
  </si>
  <si>
    <t>Ophiuchus   Oph</t>
  </si>
  <si>
    <t>Οφις</t>
  </si>
  <si>
    <t>Serpans   Ser</t>
  </si>
  <si>
    <t>Παρθενος</t>
  </si>
  <si>
    <t>Virgo   Vir</t>
  </si>
  <si>
    <t>Περιστερα</t>
  </si>
  <si>
    <t>Columba   Col</t>
  </si>
  <si>
    <t>Περσεας</t>
  </si>
  <si>
    <t>Perceus   Per</t>
  </si>
  <si>
    <t>Περσευς</t>
  </si>
  <si>
    <t>Πηγασος</t>
  </si>
  <si>
    <t>Pegasus   Peg</t>
  </si>
  <si>
    <t>Πρυμη</t>
  </si>
  <si>
    <t>Puppis   Pup</t>
  </si>
  <si>
    <t>Πρυμνη</t>
  </si>
  <si>
    <t>Πυξιδα</t>
  </si>
  <si>
    <t>Pyxis   Pyx</t>
  </si>
  <si>
    <t>Πυξις</t>
  </si>
  <si>
    <t>Σαυρα</t>
  </si>
  <si>
    <t>Lacerta   Lac</t>
  </si>
  <si>
    <t>Σκορπιος</t>
  </si>
  <si>
    <t>Scorpius   Sco</t>
  </si>
  <si>
    <t>Ταυρος</t>
  </si>
  <si>
    <t>Taurus   Tau</t>
  </si>
  <si>
    <t>Τοξοτης</t>
  </si>
  <si>
    <t>Sagittarius   Sgr</t>
  </si>
  <si>
    <t>Τριγωνο</t>
  </si>
  <si>
    <t>Triangulum   Tri</t>
  </si>
  <si>
    <t>Τριγωνον</t>
  </si>
  <si>
    <t>Τροπιδα</t>
  </si>
  <si>
    <t>Carina   Car</t>
  </si>
  <si>
    <t>Τροπις</t>
  </si>
  <si>
    <t>Υδρα</t>
  </si>
  <si>
    <t>Hydra   Hya</t>
  </si>
  <si>
    <t>Υδροχοος</t>
  </si>
  <si>
    <t>Aquarius   Aqr</t>
  </si>
  <si>
    <t>Φοινιξ</t>
  </si>
  <si>
    <t>Phoenix   Phe</t>
  </si>
  <si>
    <t>Ωριων</t>
  </si>
  <si>
    <t>Orion   Ori</t>
  </si>
  <si>
    <t>Ωριωνας</t>
  </si>
  <si>
    <t>Έλεγξε την ορθογραφία.</t>
  </si>
  <si>
    <t>Μη αναγνωρίσιμοι χαρακτήρες. Γυρίστε το πληκτρολόγιο στα Ελληνικά.</t>
  </si>
  <si>
    <t>Μη αναγνωρίσιμοι χαρακτήρες. Πληκτρολογήσατε Αριθμούς!!!</t>
  </si>
  <si>
    <t>Σφάλματα στην πληκτρολόγηση</t>
  </si>
  <si>
    <t>Αστερισμός Ολογράφως</t>
  </si>
  <si>
    <r>
      <rPr>
        <b/>
        <sz val="11"/>
        <color theme="1"/>
        <rFont val="Times New Roman"/>
        <family val="1"/>
        <charset val="161"/>
      </rPr>
      <t>1)</t>
    </r>
    <r>
      <rPr>
        <sz val="11"/>
        <color theme="1"/>
        <rFont val="Times New Roman"/>
        <family val="1"/>
        <charset val="161"/>
      </rPr>
      <t xml:space="preserve"> αν είσοδος = 0 ; "Α" ; Είσοδος</t>
    </r>
  </si>
  <si>
    <r>
      <t xml:space="preserve">αν το επάνω =FALSE ; </t>
    </r>
    <r>
      <rPr>
        <b/>
        <sz val="11"/>
        <color theme="1"/>
        <rFont val="Times New Roman"/>
        <family val="1"/>
        <charset val="161"/>
      </rPr>
      <t>1)</t>
    </r>
    <r>
      <rPr>
        <sz val="11"/>
        <color theme="1"/>
        <rFont val="Times New Roman"/>
        <family val="1"/>
        <charset val="161"/>
      </rPr>
      <t xml:space="preserve"> ; "ΩΩΩ"</t>
    </r>
  </si>
  <si>
    <t>αν το επάνω = γκρι ; Το επάνω ; "ΩΩ"</t>
  </si>
  <si>
    <t>αν το χακί = ΩΩ ; 1 ; Το χακί</t>
  </si>
  <si>
    <t>αν το Χακί = γκρι ; 1 ; Το επάνω</t>
  </si>
  <si>
    <t>αν το επάνω =FALSE ; "ΩΩΩΩ" ; Το χακί</t>
  </si>
  <si>
    <t>Το επάνω μωβ είσοδος για τις Lookup</t>
  </si>
  <si>
    <t xml:space="preserve">       </t>
  </si>
  <si>
    <t xml:space="preserve">     ΑΠΟΤΕΛΕΣΜΑ</t>
  </si>
  <si>
    <t xml:space="preserve">       ΑΠΟΤΕΛΕΣΜΑ</t>
  </si>
  <si>
    <t xml:space="preserve">                      Ορθή ανφορά</t>
  </si>
  <si>
    <t>ααα 0 έως ααα 9 καινές θέσεις</t>
  </si>
  <si>
    <t xml:space="preserve">ααα 0 έως ααα 9 καινές θέσεις </t>
  </si>
  <si>
    <t xml:space="preserve">                  Ορθή ανφορά</t>
  </si>
  <si>
    <t>ΚΑΤΑΛΟΓΟΣ 1</t>
  </si>
  <si>
    <t>Γράψτε</t>
  </si>
  <si>
    <t>από</t>
  </si>
  <si>
    <t>εδώ</t>
  </si>
  <si>
    <t>μέχρι</t>
  </si>
  <si>
    <t>και</t>
  </si>
  <si>
    <t>το ααα 9</t>
  </si>
  <si>
    <t>όνομα</t>
  </si>
  <si>
    <t>αντικειμένου</t>
  </si>
  <si>
    <t xml:space="preserve">  ΑΠΟΤΕΛΕΣΜΑ</t>
  </si>
  <si>
    <t xml:space="preserve">             Έτος.........</t>
  </si>
  <si>
    <t xml:space="preserve"> ΑΠΟΤΕΛΕΣΜΑ</t>
  </si>
  <si>
    <t xml:space="preserve">              Γράφουμε Κάτω</t>
  </si>
  <si>
    <r>
      <t xml:space="preserve">Νυχτερινή Οθόνη </t>
    </r>
    <r>
      <rPr>
        <sz val="11"/>
        <color rgb="FF00B050"/>
        <rFont val="Times New Roman"/>
        <family val="1"/>
        <charset val="161"/>
      </rPr>
      <t>1</t>
    </r>
  </si>
  <si>
    <t xml:space="preserve">                                                   Ορθή ανφορά</t>
  </si>
  <si>
    <r>
      <rPr>
        <sz val="11"/>
        <color rgb="FF7030A0"/>
        <rFont val="Times New Roman"/>
        <family val="1"/>
        <charset val="161"/>
      </rPr>
      <t xml:space="preserve">IC= </t>
    </r>
    <r>
      <rPr>
        <b/>
        <sz val="11"/>
        <color rgb="FF7030A0"/>
        <rFont val="Times New Roman"/>
        <family val="1"/>
        <charset val="161"/>
      </rPr>
      <t>εκ</t>
    </r>
    <r>
      <rPr>
        <sz val="11"/>
        <color theme="1"/>
        <rFont val="Times New Roman"/>
        <family val="1"/>
        <charset val="161"/>
      </rPr>
      <t xml:space="preserve">      </t>
    </r>
    <r>
      <rPr>
        <sz val="11"/>
        <color theme="9" tint="-0.249977111117893"/>
        <rFont val="Times New Roman"/>
        <family val="1"/>
        <charset val="161"/>
      </rPr>
      <t>(Σχόλιο)</t>
    </r>
    <r>
      <rPr>
        <sz val="11"/>
        <color theme="1"/>
        <rFont val="Times New Roman"/>
        <family val="1"/>
        <charset val="161"/>
      </rPr>
      <t xml:space="preserve">                Λεπτά </t>
    </r>
  </si>
  <si>
    <r>
      <rPr>
        <sz val="11"/>
        <color rgb="FF7030A0"/>
        <rFont val="Times New Roman"/>
        <family val="1"/>
        <charset val="161"/>
      </rPr>
      <t xml:space="preserve">NGC= </t>
    </r>
    <r>
      <rPr>
        <b/>
        <sz val="11"/>
        <color rgb="FF7030A0"/>
        <rFont val="Times New Roman"/>
        <family val="1"/>
        <charset val="161"/>
      </rPr>
      <t xml:space="preserve">νγκ </t>
    </r>
    <r>
      <rPr>
        <b/>
        <sz val="11"/>
        <color theme="9" tint="-0.249977111117893"/>
        <rFont val="Times New Roman"/>
        <family val="1"/>
        <charset val="161"/>
      </rPr>
      <t>(</t>
    </r>
    <r>
      <rPr>
        <sz val="11"/>
        <color theme="9" tint="-0.249977111117893"/>
        <rFont val="Times New Roman"/>
        <family val="1"/>
        <charset val="161"/>
      </rPr>
      <t>Σχόλιο)</t>
    </r>
    <r>
      <rPr>
        <sz val="11"/>
        <color rgb="FF7030A0"/>
        <rFont val="Times New Roman"/>
        <family val="1"/>
        <charset val="161"/>
      </rPr>
      <t xml:space="preserve"> </t>
    </r>
    <r>
      <rPr>
        <sz val="11"/>
        <color theme="1"/>
        <rFont val="Times New Roman"/>
        <family val="1"/>
        <charset val="161"/>
      </rPr>
      <t xml:space="preserve">               Ώρες</t>
    </r>
  </si>
  <si>
    <t xml:space="preserve">                                             Μοίρες</t>
  </si>
  <si>
    <t xml:space="preserve">                                             Λεπτά </t>
  </si>
  <si>
    <t xml:space="preserve">                                     Δευτερόλεπτα</t>
  </si>
  <si>
    <t xml:space="preserve">                                       Δεκαδικό</t>
  </si>
  <si>
    <t xml:space="preserve">                                                           Απόκλιση</t>
  </si>
  <si>
    <t xml:space="preserve">                                                    Ορθή ανφορά</t>
  </si>
  <si>
    <r>
      <t xml:space="preserve">NGC= </t>
    </r>
    <r>
      <rPr>
        <b/>
        <sz val="11"/>
        <rFont val="Times New Roman"/>
        <family val="1"/>
        <charset val="161"/>
      </rPr>
      <t>νγκ (</t>
    </r>
    <r>
      <rPr>
        <sz val="11"/>
        <rFont val="Times New Roman"/>
        <family val="1"/>
        <charset val="161"/>
      </rPr>
      <t>Σχόλιο)                Ώρες</t>
    </r>
  </si>
  <si>
    <r>
      <t xml:space="preserve">IC= </t>
    </r>
    <r>
      <rPr>
        <b/>
        <sz val="11"/>
        <rFont val="Times New Roman"/>
        <family val="1"/>
        <charset val="161"/>
      </rPr>
      <t>εκ</t>
    </r>
    <r>
      <rPr>
        <sz val="11"/>
        <rFont val="Times New Roman"/>
        <family val="1"/>
        <charset val="161"/>
      </rPr>
      <t xml:space="preserve">      (Σχόλιο)               Λεπτά </t>
    </r>
  </si>
  <si>
    <t xml:space="preserve">                                                          Απόκλιση</t>
  </si>
  <si>
    <t xml:space="preserve">                                               Μοίρες</t>
  </si>
  <si>
    <t xml:space="preserve">                                              Λεπτά </t>
  </si>
  <si>
    <t xml:space="preserve">                                          Δεκαδικό</t>
  </si>
  <si>
    <r>
      <rPr>
        <sz val="11"/>
        <color rgb="FF00B050"/>
        <rFont val="Times New Roman"/>
        <family val="1"/>
        <charset val="161"/>
      </rPr>
      <t xml:space="preserve">IC = </t>
    </r>
    <r>
      <rPr>
        <b/>
        <sz val="11"/>
        <color rgb="FF00B050"/>
        <rFont val="Times New Roman"/>
        <family val="1"/>
        <charset val="161"/>
      </rPr>
      <t xml:space="preserve">εκ     </t>
    </r>
    <r>
      <rPr>
        <b/>
        <sz val="11"/>
        <color rgb="FFC00000"/>
        <rFont val="Times New Roman"/>
        <family val="1"/>
        <charset val="161"/>
      </rPr>
      <t xml:space="preserve"> </t>
    </r>
    <r>
      <rPr>
        <b/>
        <sz val="11"/>
        <color theme="9" tint="-0.249977111117893"/>
        <rFont val="Times New Roman"/>
        <family val="1"/>
        <charset val="161"/>
      </rPr>
      <t>(</t>
    </r>
    <r>
      <rPr>
        <sz val="11"/>
        <color theme="9" tint="-0.249977111117893"/>
        <rFont val="Times New Roman"/>
        <family val="1"/>
        <charset val="161"/>
      </rPr>
      <t>Σχόλιο)</t>
    </r>
    <r>
      <rPr>
        <sz val="11"/>
        <color rgb="FFC00000"/>
        <rFont val="Times New Roman"/>
        <family val="1"/>
        <charset val="161"/>
      </rPr>
      <t xml:space="preserve">                Λεπτά</t>
    </r>
  </si>
  <si>
    <r>
      <rPr>
        <sz val="11"/>
        <color rgb="FF00B050"/>
        <rFont val="Times New Roman"/>
        <family val="1"/>
        <charset val="161"/>
      </rPr>
      <t xml:space="preserve">NGC= </t>
    </r>
    <r>
      <rPr>
        <b/>
        <sz val="11"/>
        <color rgb="FF00B050"/>
        <rFont val="Times New Roman"/>
        <family val="1"/>
        <charset val="161"/>
      </rPr>
      <t>νγκ</t>
    </r>
    <r>
      <rPr>
        <b/>
        <sz val="11"/>
        <color rgb="FFC00000"/>
        <rFont val="Times New Roman"/>
        <family val="1"/>
        <charset val="161"/>
      </rPr>
      <t xml:space="preserve"> </t>
    </r>
    <r>
      <rPr>
        <b/>
        <sz val="11"/>
        <color theme="9" tint="-0.249977111117893"/>
        <rFont val="Times New Roman"/>
        <family val="1"/>
        <charset val="161"/>
      </rPr>
      <t>(</t>
    </r>
    <r>
      <rPr>
        <sz val="11"/>
        <color theme="9" tint="-0.249977111117893"/>
        <rFont val="Times New Roman"/>
        <family val="1"/>
        <charset val="161"/>
      </rPr>
      <t>Σχόλιο)</t>
    </r>
    <r>
      <rPr>
        <sz val="11"/>
        <color rgb="FFC00000"/>
        <rFont val="Times New Roman"/>
        <family val="1"/>
        <charset val="161"/>
      </rPr>
      <t xml:space="preserve">                 Ώρες</t>
    </r>
  </si>
  <si>
    <t xml:space="preserve">                                                         Απόκλιση</t>
  </si>
  <si>
    <t xml:space="preserve">                                            Μοίρες</t>
  </si>
  <si>
    <t xml:space="preserve">                                         Δεκαδικό</t>
  </si>
  <si>
    <r>
      <rPr>
        <sz val="11"/>
        <color rgb="FF00B050"/>
        <rFont val="Times New Roman"/>
        <family val="1"/>
        <charset val="161"/>
      </rPr>
      <t xml:space="preserve">M = </t>
    </r>
    <r>
      <rPr>
        <b/>
        <sz val="11"/>
        <color rgb="FF00B050"/>
        <rFont val="Times New Roman"/>
        <family val="1"/>
        <charset val="161"/>
      </rPr>
      <t xml:space="preserve">μ     </t>
    </r>
    <r>
      <rPr>
        <b/>
        <sz val="11"/>
        <color rgb="FFC00000"/>
        <rFont val="Times New Roman"/>
        <family val="1"/>
        <charset val="161"/>
      </rPr>
      <t xml:space="preserve"> </t>
    </r>
    <r>
      <rPr>
        <b/>
        <sz val="11"/>
        <color theme="9" tint="-0.249977111117893"/>
        <rFont val="Times New Roman"/>
        <family val="1"/>
        <charset val="161"/>
      </rPr>
      <t>(</t>
    </r>
    <r>
      <rPr>
        <sz val="11"/>
        <color theme="9" tint="-0.249977111117893"/>
        <rFont val="Times New Roman"/>
        <family val="1"/>
        <charset val="161"/>
      </rPr>
      <t>Σχόλιο)</t>
    </r>
    <r>
      <rPr>
        <sz val="11"/>
        <color rgb="FFC00000"/>
        <rFont val="Times New Roman"/>
        <family val="1"/>
        <charset val="161"/>
      </rPr>
      <t xml:space="preserve">     Δευτερόλεπτά</t>
    </r>
  </si>
  <si>
    <r>
      <t xml:space="preserve">Kατάλογος HD= </t>
    </r>
    <r>
      <rPr>
        <b/>
        <sz val="11"/>
        <color rgb="FFC00000"/>
        <rFont val="Times New Roman"/>
        <family val="1"/>
        <charset val="161"/>
      </rPr>
      <t xml:space="preserve">ω          </t>
    </r>
    <r>
      <rPr>
        <sz val="11"/>
        <color rgb="FFC00000"/>
        <rFont val="Times New Roman"/>
        <family val="1"/>
        <charset val="161"/>
      </rPr>
      <t>Δεκαδικό</t>
    </r>
  </si>
  <si>
    <t>Aστερισμός Ολογράφως</t>
  </si>
  <si>
    <t>Eνεργή οθόνη 1</t>
  </si>
  <si>
    <t>Eνεργή οθόνη 2</t>
  </si>
  <si>
    <t>Eνεργή οθόνη 3</t>
  </si>
  <si>
    <t>Eνεργή οθόνη 4</t>
  </si>
  <si>
    <r>
      <t xml:space="preserve">Kατάλογος </t>
    </r>
    <r>
      <rPr>
        <sz val="11"/>
        <color rgb="FFC00000"/>
        <rFont val="Times New Roman"/>
        <family val="1"/>
        <charset val="161"/>
      </rPr>
      <t>HD</t>
    </r>
    <r>
      <rPr>
        <sz val="11"/>
        <rFont val="Times New Roman"/>
        <family val="1"/>
        <charset val="161"/>
      </rPr>
      <t xml:space="preserve">= </t>
    </r>
    <r>
      <rPr>
        <b/>
        <sz val="11"/>
        <color rgb="FFC00000"/>
        <rFont val="Times New Roman"/>
        <family val="1"/>
        <charset val="161"/>
      </rPr>
      <t>ω</t>
    </r>
    <r>
      <rPr>
        <sz val="11"/>
        <rFont val="Times New Roman"/>
        <family val="1"/>
        <charset val="161"/>
      </rPr>
      <t xml:space="preserve">           Δεκαδικό</t>
    </r>
  </si>
  <si>
    <r>
      <t xml:space="preserve">M= </t>
    </r>
    <r>
      <rPr>
        <b/>
        <sz val="11"/>
        <rFont val="Times New Roman"/>
        <family val="1"/>
        <charset val="161"/>
      </rPr>
      <t>μ       (</t>
    </r>
    <r>
      <rPr>
        <sz val="11"/>
        <rFont val="Times New Roman"/>
        <family val="1"/>
        <charset val="161"/>
      </rPr>
      <t>Σχόλιο)     Δευτερόλεπτα</t>
    </r>
  </si>
  <si>
    <r>
      <rPr>
        <sz val="11"/>
        <color rgb="FF7030A0"/>
        <rFont val="Times New Roman"/>
        <family val="1"/>
        <charset val="161"/>
      </rPr>
      <t xml:space="preserve">Kατάλογος HD= </t>
    </r>
    <r>
      <rPr>
        <b/>
        <sz val="11"/>
        <color rgb="FF7030A0"/>
        <rFont val="Times New Roman"/>
        <family val="1"/>
        <charset val="161"/>
      </rPr>
      <t xml:space="preserve">ω          </t>
    </r>
    <r>
      <rPr>
        <sz val="11"/>
        <color theme="1"/>
        <rFont val="Times New Roman"/>
        <family val="1"/>
        <charset val="161"/>
      </rPr>
      <t>Δεκαδικό</t>
    </r>
  </si>
  <si>
    <r>
      <rPr>
        <sz val="11"/>
        <color rgb="FF7030A0"/>
        <rFont val="Times New Roman"/>
        <family val="1"/>
        <charset val="161"/>
      </rPr>
      <t xml:space="preserve">M= </t>
    </r>
    <r>
      <rPr>
        <b/>
        <sz val="11"/>
        <color rgb="FF7030A0"/>
        <rFont val="Times New Roman"/>
        <family val="1"/>
        <charset val="161"/>
      </rPr>
      <t xml:space="preserve">μ       </t>
    </r>
    <r>
      <rPr>
        <b/>
        <sz val="11"/>
        <color theme="9" tint="-0.249977111117893"/>
        <rFont val="Times New Roman"/>
        <family val="1"/>
        <charset val="161"/>
      </rPr>
      <t>(</t>
    </r>
    <r>
      <rPr>
        <sz val="11"/>
        <color theme="9" tint="-0.249977111117893"/>
        <rFont val="Times New Roman"/>
        <family val="1"/>
        <charset val="161"/>
      </rPr>
      <t>Σχόλιο)</t>
    </r>
    <r>
      <rPr>
        <sz val="11"/>
        <color rgb="FF7030A0"/>
        <rFont val="Times New Roman"/>
        <family val="1"/>
        <charset val="161"/>
      </rPr>
      <t xml:space="preserve"> </t>
    </r>
    <r>
      <rPr>
        <sz val="11"/>
        <color theme="1"/>
        <rFont val="Times New Roman"/>
        <family val="1"/>
        <charset val="161"/>
      </rPr>
      <t xml:space="preserve">    Δευτερόλεπτα</t>
    </r>
  </si>
  <si>
    <t>Andromeda   And</t>
  </si>
  <si>
    <t>Τρόπις</t>
  </si>
  <si>
    <t>Pisces   Psc</t>
  </si>
  <si>
    <t>Corona Australis CrA</t>
  </si>
  <si>
    <r>
      <t xml:space="preserve">     EQ </t>
    </r>
    <r>
      <rPr>
        <b/>
        <sz val="11"/>
        <color rgb="FF00B0F0"/>
        <rFont val="Times New Roman"/>
        <family val="1"/>
        <charset val="161"/>
      </rPr>
      <t>Δ</t>
    </r>
    <r>
      <rPr>
        <b/>
        <sz val="11"/>
        <color rgb="FFFF0000"/>
        <rFont val="Times New Roman"/>
        <family val="1"/>
        <charset val="161"/>
      </rPr>
      <t xml:space="preserve"> ΑΠΟ-ΠΡΟΣ -1</t>
    </r>
  </si>
  <si>
    <r>
      <t xml:space="preserve">         </t>
    </r>
    <r>
      <rPr>
        <sz val="11"/>
        <color rgb="FFFF0000"/>
        <rFont val="Times New Roman"/>
        <family val="1"/>
        <charset val="161"/>
      </rPr>
      <t>Νυχτερινή Οθόνη</t>
    </r>
    <r>
      <rPr>
        <sz val="11"/>
        <color rgb="FFC00000"/>
        <rFont val="Times New Roman"/>
        <family val="1"/>
        <charset val="161"/>
      </rPr>
      <t xml:space="preserve"> </t>
    </r>
    <r>
      <rPr>
        <sz val="11"/>
        <color rgb="FF00B050"/>
        <rFont val="Times New Roman"/>
        <family val="1"/>
        <charset val="161"/>
      </rPr>
      <t>1</t>
    </r>
  </si>
  <si>
    <t xml:space="preserve">                      ΕΤΟΣ</t>
  </si>
  <si>
    <t>Δευτερόλρπτα</t>
  </si>
  <si>
    <t>Δεκδικό</t>
  </si>
  <si>
    <t xml:space="preserve">                                 Μοίρες</t>
  </si>
  <si>
    <t xml:space="preserve">                                 Λεπτά</t>
  </si>
  <si>
    <t xml:space="preserve">                        Δευτερόλεπτα </t>
  </si>
  <si>
    <t xml:space="preserve">                              Δεκαδικό</t>
  </si>
  <si>
    <t>alfa</t>
  </si>
  <si>
    <t xml:space="preserve">    Αστερισμός (ολογράφως)</t>
  </si>
  <si>
    <t xml:space="preserve">                  ENTER</t>
  </si>
  <si>
    <t xml:space="preserve">    Constellatio</t>
  </si>
  <si>
    <r>
      <t xml:space="preserve">     EQ </t>
    </r>
    <r>
      <rPr>
        <b/>
        <sz val="11"/>
        <color rgb="FF00B0F0"/>
        <rFont val="Times New Roman"/>
        <family val="1"/>
        <charset val="161"/>
      </rPr>
      <t>Δ</t>
    </r>
    <r>
      <rPr>
        <b/>
        <sz val="11"/>
        <color theme="1"/>
        <rFont val="Times New Roman"/>
        <family val="1"/>
        <charset val="161"/>
      </rPr>
      <t xml:space="preserve"> ΑΠΟ-ΠΡΟΣ -1</t>
    </r>
  </si>
  <si>
    <t xml:space="preserve">      Νυχτερινή Οθώνη 2                 </t>
  </si>
  <si>
    <t>Πρόγραμμα</t>
  </si>
  <si>
    <t>Επιλογή προγράμματος</t>
  </si>
  <si>
    <r>
      <t xml:space="preserve">ΕQ ΑΠΟ-ΠΡΟΣ  Ελληνικό = </t>
    </r>
    <r>
      <rPr>
        <b/>
        <sz val="11"/>
        <color rgb="FFFF0000"/>
        <rFont val="Times New Roman"/>
        <family val="1"/>
        <charset val="161"/>
      </rPr>
      <t>1</t>
    </r>
  </si>
  <si>
    <r>
      <t xml:space="preserve">EQ </t>
    </r>
    <r>
      <rPr>
        <sz val="11"/>
        <color rgb="FF00B0F0"/>
        <rFont val="Times New Roman"/>
        <family val="1"/>
        <charset val="161"/>
      </rPr>
      <t xml:space="preserve">Δ </t>
    </r>
    <r>
      <rPr>
        <sz val="11"/>
        <rFont val="Times New Roman"/>
        <family val="1"/>
        <charset val="161"/>
      </rPr>
      <t xml:space="preserve">ΑΠΟ-ΠΡΟΣ = </t>
    </r>
    <r>
      <rPr>
        <b/>
        <sz val="11"/>
        <color rgb="FFFF0000"/>
        <rFont val="Times New Roman"/>
        <family val="1"/>
        <charset val="161"/>
      </rPr>
      <t>2</t>
    </r>
  </si>
  <si>
    <r>
      <t xml:space="preserve">                   Έγχρωμη   Οθόνη </t>
    </r>
    <r>
      <rPr>
        <b/>
        <sz val="11"/>
        <color rgb="FFFF0000"/>
        <rFont val="Times New Roman"/>
        <family val="1"/>
        <charset val="161"/>
      </rPr>
      <t xml:space="preserve"> 3</t>
    </r>
  </si>
  <si>
    <r>
      <t xml:space="preserve">           Οθώνη </t>
    </r>
    <r>
      <rPr>
        <b/>
        <sz val="11"/>
        <color rgb="FFC00000"/>
        <rFont val="Times New Roman"/>
        <family val="1"/>
        <charset val="161"/>
      </rPr>
      <t>3</t>
    </r>
    <r>
      <rPr>
        <sz val="11"/>
        <color theme="1"/>
        <rFont val="Times New Roman"/>
        <family val="1"/>
        <charset val="161"/>
      </rPr>
      <t xml:space="preserve"> </t>
    </r>
  </si>
  <si>
    <t>Η οθόνη έχει διαστάσεις:</t>
  </si>
  <si>
    <t>Οριζόντια 15 γράμματα</t>
  </si>
  <si>
    <t>Κάθετα 20 αριθμούς</t>
  </si>
  <si>
    <t>EQ Δ ΑΠΟ-ΠΡΟΣ</t>
  </si>
  <si>
    <t xml:space="preserve">ΑΠΟ (A) </t>
  </si>
  <si>
    <t>ΑΠΟ (Β)</t>
  </si>
  <si>
    <t>γ</t>
  </si>
  <si>
    <t>ΠΡΟΣ (Α)</t>
  </si>
  <si>
    <t>ΠΡΟΣ (Β)</t>
  </si>
  <si>
    <t>LOOKUP 1                             ΑΠΟ (Α)</t>
  </si>
  <si>
    <t>LOOKUP 1                             ΑΠΟ (Β)</t>
  </si>
  <si>
    <t>LOOKUP 2                            ΠΡΟΣ (A)</t>
  </si>
  <si>
    <t>LOOKUP 2                            ΠΡΟΣ (B)</t>
  </si>
  <si>
    <t>lyr</t>
  </si>
  <si>
    <t>m</t>
  </si>
  <si>
    <t>0) Διεθνές</t>
  </si>
  <si>
    <t>4) Σύνθεση -1</t>
  </si>
  <si>
    <r>
      <t>3) Μετάφραση (</t>
    </r>
    <r>
      <rPr>
        <b/>
        <sz val="11"/>
        <color rgb="FF0070C0"/>
        <rFont val="Times New Roman"/>
        <family val="1"/>
        <charset val="161"/>
      </rPr>
      <t>Β</t>
    </r>
    <r>
      <rPr>
        <b/>
        <sz val="11"/>
        <rFont val="Times New Roman"/>
        <family val="1"/>
        <charset val="161"/>
      </rPr>
      <t>) κελιού -1</t>
    </r>
  </si>
  <si>
    <t>2) Μετάφραση (Α) κελιού - 2</t>
  </si>
  <si>
    <t>Όνομα Α</t>
  </si>
  <si>
    <t>Όνομα Β</t>
  </si>
  <si>
    <t>Κείμενα</t>
  </si>
  <si>
    <r>
      <t xml:space="preserve">Κελί </t>
    </r>
    <r>
      <rPr>
        <b/>
        <sz val="11"/>
        <color theme="1"/>
        <rFont val="Times New Roman"/>
        <family val="1"/>
        <charset val="161"/>
      </rPr>
      <t>(Α)</t>
    </r>
  </si>
  <si>
    <t>1) Αστερισμός κωδικός -1</t>
  </si>
  <si>
    <r>
      <rPr>
        <sz val="11"/>
        <color rgb="FFC00000"/>
        <rFont val="Times New Roman"/>
        <family val="1"/>
        <charset val="161"/>
      </rPr>
      <t>Πίνακας 1)</t>
    </r>
    <r>
      <rPr>
        <sz val="11"/>
        <color theme="1"/>
        <rFont val="Times New Roman"/>
        <family val="1"/>
        <charset val="161"/>
      </rPr>
      <t xml:space="preserve"> Κατάλογος Αστερισμών - κωδικών</t>
    </r>
  </si>
  <si>
    <t>1)</t>
  </si>
  <si>
    <r>
      <rPr>
        <sz val="11"/>
        <color rgb="FFC00000"/>
        <rFont val="Times New Roman"/>
        <family val="1"/>
        <charset val="161"/>
      </rPr>
      <t>Πίνακας 2)</t>
    </r>
    <r>
      <rPr>
        <sz val="11"/>
        <color theme="1"/>
        <rFont val="Times New Roman"/>
        <family val="1"/>
        <charset val="161"/>
      </rPr>
      <t xml:space="preserve"> Κατάλογος Αστερισμών - κωδικών</t>
    </r>
  </si>
  <si>
    <t>2)</t>
  </si>
  <si>
    <r>
      <t xml:space="preserve">Κελί </t>
    </r>
    <r>
      <rPr>
        <b/>
        <sz val="11"/>
        <color theme="1"/>
        <rFont val="Times New Roman"/>
        <family val="1"/>
        <charset val="161"/>
      </rPr>
      <t>(Β)</t>
    </r>
  </si>
  <si>
    <t>Ελληνικός</t>
  </si>
  <si>
    <t>Λατινικός</t>
  </si>
  <si>
    <t>Isnumber (Κόκκινη περιγεγραμμένη Αν)</t>
  </si>
  <si>
    <t>Όνομα στα</t>
  </si>
  <si>
    <t>Όναμα στά</t>
  </si>
  <si>
    <t>Μηνύματα για σφάλματα</t>
  </si>
  <si>
    <t>A</t>
  </si>
  <si>
    <t>Αποτέλεσμα</t>
  </si>
  <si>
    <t>αν το επάνω=False;2;1</t>
  </si>
  <si>
    <t>ΑΣΤΕΡΙΣΜΟΣ</t>
  </si>
  <si>
    <t>Isnumper</t>
  </si>
  <si>
    <t>Δεν υπάρχει</t>
  </si>
  <si>
    <t>lookup</t>
  </si>
  <si>
    <t>ανδ</t>
  </si>
  <si>
    <t>Πίνακας</t>
  </si>
  <si>
    <t>κωδικός</t>
  </si>
  <si>
    <t>Ειδοποιήσεις</t>
  </si>
  <si>
    <t>αν isnumber=False;το επάνω;είσοδος</t>
  </si>
  <si>
    <t>Ant</t>
  </si>
  <si>
    <t>αντ</t>
  </si>
  <si>
    <t>Έισοδος</t>
  </si>
  <si>
    <t xml:space="preserve">Aquila   </t>
  </si>
  <si>
    <r>
      <t xml:space="preserve">αν το επάνω =FALSE ; </t>
    </r>
    <r>
      <rPr>
        <b/>
        <sz val="11"/>
        <color theme="1"/>
        <rFont val="Times New Roman"/>
        <family val="1"/>
        <charset val="161"/>
      </rPr>
      <t>1)</t>
    </r>
    <r>
      <rPr>
        <sz val="11"/>
        <color theme="1"/>
        <rFont val="Times New Roman"/>
        <family val="1"/>
        <charset val="161"/>
      </rPr>
      <t xml:space="preserve"> ; "ZZZ"</t>
    </r>
  </si>
  <si>
    <t>είσοδος</t>
  </si>
  <si>
    <t>β</t>
  </si>
  <si>
    <t>αετ</t>
  </si>
  <si>
    <t>2) Μετάφραση (Α) κελιού -1</t>
  </si>
  <si>
    <r>
      <t xml:space="preserve">Όλα τα παρακάτω = </t>
    </r>
    <r>
      <rPr>
        <b/>
        <sz val="11"/>
        <color rgb="FF00B050"/>
        <rFont val="Times New Roman"/>
        <family val="1"/>
        <charset val="161"/>
      </rPr>
      <t>1</t>
    </r>
    <r>
      <rPr>
        <sz val="11"/>
        <color theme="1"/>
        <rFont val="Times New Roman"/>
        <family val="1"/>
        <charset val="161"/>
      </rPr>
      <t xml:space="preserve"> ; 0</t>
    </r>
  </si>
  <si>
    <t>υδρ</t>
  </si>
  <si>
    <t>αν το επάνω=false;είσοδος;"ΖΖΖ"</t>
  </si>
  <si>
    <t>3) Μετάφραση (Β) κελιού -1</t>
  </si>
  <si>
    <t xml:space="preserve">Capricornus    </t>
  </si>
  <si>
    <t>δ</t>
  </si>
  <si>
    <t>βωμ</t>
  </si>
  <si>
    <t>Lookup κωδικού</t>
  </si>
  <si>
    <t>ε</t>
  </si>
  <si>
    <t>κρι</t>
  </si>
  <si>
    <t>Lookup    όνομα Α-όνομα Β</t>
  </si>
  <si>
    <t>isnumber στο (Β) κελί</t>
  </si>
  <si>
    <t xml:space="preserve">Capricornus   </t>
  </si>
  <si>
    <t>Αν το Χακί = γκρι ; 1 ; Το επάνω</t>
  </si>
  <si>
    <t>αν το επάνω=0;"";το επάνω</t>
  </si>
  <si>
    <t>alf</t>
  </si>
  <si>
    <t>ζ</t>
  </si>
  <si>
    <t>ηνι</t>
  </si>
  <si>
    <t>αν το επάνω = ΖΖΖΖ;το επάνω;το πορτοκαλί</t>
  </si>
  <si>
    <t>Aν το επάνω= FALSE;1;2</t>
  </si>
  <si>
    <t>lookup αστερισμού στα Λατινικα</t>
  </si>
  <si>
    <t>alpha</t>
  </si>
  <si>
    <t>η</t>
  </si>
  <si>
    <t>βοω</t>
  </si>
  <si>
    <t>αν χακί=γκρι;Χακί;"ΖΖ"</t>
  </si>
  <si>
    <t xml:space="preserve">Vulpecula   </t>
  </si>
  <si>
    <t>alp</t>
  </si>
  <si>
    <t>θ</t>
  </si>
  <si>
    <t>καμη</t>
  </si>
  <si>
    <t>οι κάτω Lookup είσοδος από το πράσινο επάνω</t>
  </si>
  <si>
    <r>
      <t xml:space="preserve">αν </t>
    </r>
    <r>
      <rPr>
        <sz val="11"/>
        <color rgb="FFC00000"/>
        <rFont val="Times New Roman"/>
        <family val="1"/>
        <charset val="161"/>
      </rPr>
      <t>κόκκινη ΑΝ=1</t>
    </r>
    <r>
      <rPr>
        <sz val="11"/>
        <rFont val="Times New Roman"/>
        <family val="1"/>
        <charset val="161"/>
      </rPr>
      <t>; (Α);""                            Άστρο</t>
    </r>
  </si>
  <si>
    <t xml:space="preserve">Vulpecula  </t>
  </si>
  <si>
    <t>lookup αστερισμού στα Ελληνικα</t>
  </si>
  <si>
    <t>άθροισμα</t>
  </si>
  <si>
    <t>ι</t>
  </si>
  <si>
    <t>αιγ</t>
  </si>
  <si>
    <t>Lookup   Κωδικός</t>
  </si>
  <si>
    <t>Κενό</t>
  </si>
  <si>
    <t>Άστρο</t>
  </si>
  <si>
    <t>κ</t>
  </si>
  <si>
    <t>τρο</t>
  </si>
  <si>
    <t>έξοδος Κωδικός</t>
  </si>
  <si>
    <t>CONCATENATE άστρων</t>
  </si>
  <si>
    <t>look up μηνυμάτων</t>
  </si>
  <si>
    <r>
      <t xml:space="preserve">Όλα τα παρακάτω = </t>
    </r>
    <r>
      <rPr>
        <sz val="11"/>
        <color rgb="FF00B050"/>
        <rFont val="Times New Roman"/>
        <family val="1"/>
        <charset val="161"/>
      </rPr>
      <t>2</t>
    </r>
    <r>
      <rPr>
        <sz val="11"/>
        <color theme="1"/>
        <rFont val="Times New Roman"/>
        <family val="1"/>
        <charset val="161"/>
      </rPr>
      <t xml:space="preserve"> ; 0</t>
    </r>
  </si>
  <si>
    <t>λ</t>
  </si>
  <si>
    <t>Cas</t>
  </si>
  <si>
    <t>κασ</t>
  </si>
  <si>
    <t>Lookup Μήνυμα</t>
  </si>
  <si>
    <t xml:space="preserve">Andromeda   </t>
  </si>
  <si>
    <t>μ</t>
  </si>
  <si>
    <t>κεν</t>
  </si>
  <si>
    <t>έξοδος Μήνυμα</t>
  </si>
  <si>
    <t>Cma</t>
  </si>
  <si>
    <t>bet</t>
  </si>
  <si>
    <t>ν</t>
  </si>
  <si>
    <t>κηφ</t>
  </si>
  <si>
    <t xml:space="preserve">Antlia   </t>
  </si>
  <si>
    <t>Cmi</t>
  </si>
  <si>
    <t>beta</t>
  </si>
  <si>
    <t>ξ</t>
  </si>
  <si>
    <t>κητ</t>
  </si>
  <si>
    <t>Μήνυμα</t>
  </si>
  <si>
    <t>ο</t>
  </si>
  <si>
    <t>κμε</t>
  </si>
  <si>
    <t>Κωδικός αστερισμού του ΑΠΟ-ΠΡΟΣ</t>
  </si>
  <si>
    <t xml:space="preserve">Scutum   </t>
  </si>
  <si>
    <t>π</t>
  </si>
  <si>
    <t>κμι</t>
  </si>
  <si>
    <t>αύξον αριθμός καταλόγου</t>
  </si>
  <si>
    <t>Cassiopea</t>
  </si>
  <si>
    <r>
      <t xml:space="preserve">Όλα τα παρακάτω = </t>
    </r>
    <r>
      <rPr>
        <b/>
        <sz val="11"/>
        <color rgb="FF00B050"/>
        <rFont val="Times New Roman"/>
        <family val="1"/>
        <charset val="161"/>
      </rPr>
      <t>3</t>
    </r>
    <r>
      <rPr>
        <sz val="11"/>
        <color theme="1"/>
        <rFont val="Times New Roman"/>
        <family val="1"/>
        <charset val="161"/>
      </rPr>
      <t xml:space="preserve"> ; 0</t>
    </r>
  </si>
  <si>
    <t>ρ</t>
  </si>
  <si>
    <t>καρ</t>
  </si>
  <si>
    <t>σ</t>
  </si>
  <si>
    <t>πρσ</t>
  </si>
  <si>
    <t>gama</t>
  </si>
  <si>
    <t>τ</t>
  </si>
  <si>
    <t>κομ</t>
  </si>
  <si>
    <t>CONCATENATE Καταλόγου Μ (Messier)</t>
  </si>
  <si>
    <t xml:space="preserve">Saggitta   </t>
  </si>
  <si>
    <t>Sge</t>
  </si>
  <si>
    <t>gam</t>
  </si>
  <si>
    <t>υ</t>
  </si>
  <si>
    <t>Cra</t>
  </si>
  <si>
    <t>στν</t>
  </si>
  <si>
    <t>isnumber (B)</t>
  </si>
  <si>
    <t>φ</t>
  </si>
  <si>
    <t>στβ</t>
  </si>
  <si>
    <t>αν το επάνω = False;0;(B)</t>
  </si>
  <si>
    <t xml:space="preserve">Corona Borealis   </t>
  </si>
  <si>
    <t>χ</t>
  </si>
  <si>
    <t>κρα</t>
  </si>
  <si>
    <t>Coma (Berenices)</t>
  </si>
  <si>
    <r>
      <t xml:space="preserve">Όλα τα παρακάτω = </t>
    </r>
    <r>
      <rPr>
        <b/>
        <sz val="11"/>
        <color rgb="FF00B050"/>
        <rFont val="Times New Roman"/>
        <family val="1"/>
        <charset val="161"/>
      </rPr>
      <t>4</t>
    </r>
    <r>
      <rPr>
        <sz val="11"/>
        <color theme="1"/>
        <rFont val="Times New Roman"/>
        <family val="1"/>
        <charset val="161"/>
      </rPr>
      <t xml:space="preserve"> ; 0</t>
    </r>
  </si>
  <si>
    <t>ψ</t>
  </si>
  <si>
    <t>κορ</t>
  </si>
  <si>
    <t>Β</t>
  </si>
  <si>
    <t>Το πρόγραμμα βγάζει αποτελέσματα και με το Ελληνικό</t>
  </si>
  <si>
    <t>Coma Berenices</t>
  </si>
  <si>
    <t>ω</t>
  </si>
  <si>
    <t>κυθ</t>
  </si>
  <si>
    <t>και με το Αγγλικό πληκτρολόγιο!!!</t>
  </si>
  <si>
    <t>Corona Australis</t>
  </si>
  <si>
    <t>del</t>
  </si>
  <si>
    <t>κυκ</t>
  </si>
  <si>
    <t>αν Β&lt;10;Β;0</t>
  </si>
  <si>
    <t xml:space="preserve">Bootes   </t>
  </si>
  <si>
    <t>delta</t>
  </si>
  <si>
    <t>νγκ</t>
  </si>
  <si>
    <t>δελ</t>
  </si>
  <si>
    <t>αν το επάνω&gt;0;1;0</t>
  </si>
  <si>
    <t>εκ</t>
  </si>
  <si>
    <t>δρα</t>
  </si>
  <si>
    <t>αν Β&lt;100;Β;0</t>
  </si>
  <si>
    <t>ιππ</t>
  </si>
  <si>
    <t>αν το επάνω&lt;10;0;2</t>
  </si>
  <si>
    <t xml:space="preserve">Ara   </t>
  </si>
  <si>
    <r>
      <t xml:space="preserve">Όλα τα παρακάτω = </t>
    </r>
    <r>
      <rPr>
        <b/>
        <sz val="11"/>
        <color rgb="FF00B050"/>
        <rFont val="Times New Roman"/>
        <family val="1"/>
        <charset val="161"/>
      </rPr>
      <t>5</t>
    </r>
    <r>
      <rPr>
        <sz val="11"/>
        <color theme="1"/>
        <rFont val="Times New Roman"/>
        <family val="1"/>
        <charset val="161"/>
      </rPr>
      <t xml:space="preserve"> ; 0</t>
    </r>
  </si>
  <si>
    <t>ηρι</t>
  </si>
  <si>
    <t>αν το επάνω&lt;100;0;3</t>
  </si>
  <si>
    <t>καμι</t>
  </si>
  <si>
    <t>άυροισμα</t>
  </si>
  <si>
    <t xml:space="preserve">Grus   </t>
  </si>
  <si>
    <t>eps</t>
  </si>
  <si>
    <t>διδ</t>
  </si>
  <si>
    <t>epsilon</t>
  </si>
  <si>
    <t>γερ</t>
  </si>
  <si>
    <t>Αστερισμός ή</t>
  </si>
  <si>
    <t xml:space="preserve">Sculptor  </t>
  </si>
  <si>
    <t>ηρα</t>
  </si>
  <si>
    <t xml:space="preserve">         Άστρο ή</t>
  </si>
  <si>
    <t>αύξων αριθμός</t>
  </si>
  <si>
    <t xml:space="preserve">Sculptor   </t>
  </si>
  <si>
    <t>υδρα</t>
  </si>
  <si>
    <t>CONCATENATE Καταλόγων  NGC &amp; IC</t>
  </si>
  <si>
    <t xml:space="preserve">        κατάλογος</t>
  </si>
  <si>
    <t xml:space="preserve">Norma </t>
  </si>
  <si>
    <r>
      <t xml:space="preserve">Όλα τα παρακάτω = </t>
    </r>
    <r>
      <rPr>
        <b/>
        <sz val="11"/>
        <color rgb="FF00B050"/>
        <rFont val="Times New Roman"/>
        <family val="1"/>
        <charset val="161"/>
      </rPr>
      <t>6</t>
    </r>
    <r>
      <rPr>
        <sz val="11"/>
        <color theme="1"/>
        <rFont val="Times New Roman"/>
        <family val="1"/>
        <charset val="161"/>
      </rPr>
      <t xml:space="preserve"> ; 0</t>
    </r>
  </si>
  <si>
    <t>σαυ</t>
  </si>
  <si>
    <t xml:space="preserve">        ΑΠΟ ή ΠΡΟΣ</t>
  </si>
  <si>
    <t>λεω</t>
  </si>
  <si>
    <t xml:space="preserve">Delphinus </t>
  </si>
  <si>
    <t>zet</t>
  </si>
  <si>
    <t>λαγ</t>
  </si>
  <si>
    <t>B</t>
  </si>
  <si>
    <t>zeta</t>
  </si>
  <si>
    <t>ζυγ</t>
  </si>
  <si>
    <t>Lmi</t>
  </si>
  <si>
    <t>λμι</t>
  </si>
  <si>
    <t xml:space="preserve">                 Αστερισμός</t>
  </si>
  <si>
    <t>λυκ</t>
  </si>
  <si>
    <t xml:space="preserve">                 Constellatio</t>
  </si>
  <si>
    <r>
      <t xml:space="preserve">Όλα τα παρακάτω = </t>
    </r>
    <r>
      <rPr>
        <b/>
        <sz val="11"/>
        <color rgb="FF00B050"/>
        <rFont val="Times New Roman"/>
        <family val="1"/>
        <charset val="161"/>
      </rPr>
      <t>7</t>
    </r>
    <r>
      <rPr>
        <sz val="11"/>
        <color theme="1"/>
        <rFont val="Times New Roman"/>
        <family val="1"/>
        <charset val="161"/>
      </rPr>
      <t xml:space="preserve"> ; 0</t>
    </r>
  </si>
  <si>
    <t>λυγ</t>
  </si>
  <si>
    <t>Λαγωός</t>
  </si>
  <si>
    <t>λυρ</t>
  </si>
  <si>
    <t xml:space="preserve">Gemini   </t>
  </si>
  <si>
    <t>eta</t>
  </si>
  <si>
    <t>Mic</t>
  </si>
  <si>
    <t>μικ</t>
  </si>
  <si>
    <t>αν Β&lt;1000;Β;0</t>
  </si>
  <si>
    <t>ita</t>
  </si>
  <si>
    <t>μον</t>
  </si>
  <si>
    <t xml:space="preserve">Draco   </t>
  </si>
  <si>
    <t>γνω</t>
  </si>
  <si>
    <t>αν το Β &lt; 1000;0;4</t>
  </si>
  <si>
    <t>οφχ</t>
  </si>
  <si>
    <t>Microscopium</t>
  </si>
  <si>
    <r>
      <t xml:space="preserve">Όλα τα παρακάτω = </t>
    </r>
    <r>
      <rPr>
        <b/>
        <sz val="11"/>
        <color rgb="FF00B050"/>
        <rFont val="Times New Roman"/>
        <family val="1"/>
        <charset val="161"/>
      </rPr>
      <t>8</t>
    </r>
    <r>
      <rPr>
        <sz val="11"/>
        <color theme="1"/>
        <rFont val="Times New Roman"/>
        <family val="1"/>
        <charset val="161"/>
      </rPr>
      <t xml:space="preserve"> ; 0</t>
    </r>
  </si>
  <si>
    <t>ωρι</t>
  </si>
  <si>
    <t>πηγ</t>
  </si>
  <si>
    <t>teta</t>
  </si>
  <si>
    <t>περ</t>
  </si>
  <si>
    <t>CONCATENATE Καταλόγων  μεχρι 6 ψηφία</t>
  </si>
  <si>
    <t>tet</t>
  </si>
  <si>
    <t>φοι</t>
  </si>
  <si>
    <t xml:space="preserve">Sextans   </t>
  </si>
  <si>
    <t>the</t>
  </si>
  <si>
    <t>ιχν</t>
  </si>
  <si>
    <t>theta</t>
  </si>
  <si>
    <t>ιχθ</t>
  </si>
  <si>
    <t>πρυ</t>
  </si>
  <si>
    <t>Phoenix</t>
  </si>
  <si>
    <t>πυξ</t>
  </si>
  <si>
    <t xml:space="preserve">Libra   </t>
  </si>
  <si>
    <r>
      <t xml:space="preserve">Όλα τα παρακάτω = </t>
    </r>
    <r>
      <rPr>
        <b/>
        <sz val="11"/>
        <color rgb="FF00B050"/>
        <rFont val="Times New Roman"/>
        <family val="1"/>
        <charset val="161"/>
      </rPr>
      <t>9</t>
    </r>
    <r>
      <rPr>
        <sz val="11"/>
        <color theme="1"/>
        <rFont val="Times New Roman"/>
        <family val="1"/>
        <charset val="161"/>
      </rPr>
      <t xml:space="preserve"> ; 0</t>
    </r>
  </si>
  <si>
    <t>γλυ</t>
  </si>
  <si>
    <t>σκο</t>
  </si>
  <si>
    <t xml:space="preserve">Auriga   </t>
  </si>
  <si>
    <t>iota</t>
  </si>
  <si>
    <t>ασπ</t>
  </si>
  <si>
    <t>iot</t>
  </si>
  <si>
    <t>οφι</t>
  </si>
  <si>
    <t xml:space="preserve">Hercules </t>
  </si>
  <si>
    <t>Saggita</t>
  </si>
  <si>
    <t>εξα</t>
  </si>
  <si>
    <t>Sagitarius</t>
  </si>
  <si>
    <t>βελ</t>
  </si>
  <si>
    <t xml:space="preserve">Eridanus   </t>
  </si>
  <si>
    <r>
      <t>Όλα τα παρακάτω =</t>
    </r>
    <r>
      <rPr>
        <b/>
        <sz val="11"/>
        <color rgb="FF00B050"/>
        <rFont val="Times New Roman"/>
        <family val="1"/>
        <charset val="161"/>
      </rPr>
      <t>10</t>
    </r>
    <r>
      <rPr>
        <sz val="11"/>
        <color theme="1"/>
        <rFont val="Times New Roman"/>
        <family val="1"/>
        <charset val="161"/>
      </rPr>
      <t xml:space="preserve"> ; 0</t>
    </r>
  </si>
  <si>
    <t>τοξ</t>
  </si>
  <si>
    <t>ταυ</t>
  </si>
  <si>
    <t xml:space="preserve">Canes Venatici    </t>
  </si>
  <si>
    <t>kapa</t>
  </si>
  <si>
    <t>τρι</t>
  </si>
  <si>
    <t>Serpans</t>
  </si>
  <si>
    <t>kap</t>
  </si>
  <si>
    <t>αμε</t>
  </si>
  <si>
    <t>αμι</t>
  </si>
  <si>
    <t>ιστ</t>
  </si>
  <si>
    <t xml:space="preserve">Equuleus   </t>
  </si>
  <si>
    <r>
      <t>Όλα τα παρακάτω =</t>
    </r>
    <r>
      <rPr>
        <b/>
        <sz val="11"/>
        <color rgb="FF00B050"/>
        <rFont val="Times New Roman"/>
        <family val="1"/>
        <charset val="161"/>
      </rPr>
      <t>11</t>
    </r>
    <r>
      <rPr>
        <sz val="11"/>
        <color theme="1"/>
        <rFont val="Times New Roman"/>
        <family val="1"/>
        <charset val="161"/>
      </rPr>
      <t xml:space="preserve"> ; 0</t>
    </r>
  </si>
  <si>
    <t>παρ</t>
  </si>
  <si>
    <t>αν το Β&lt;10000;Β;0</t>
  </si>
  <si>
    <t xml:space="preserve">Equuleus  </t>
  </si>
  <si>
    <t>αλω</t>
  </si>
  <si>
    <t>αν το επάνω&lt;1000;0;4</t>
  </si>
  <si>
    <t>lamda</t>
  </si>
  <si>
    <t>Z</t>
  </si>
  <si>
    <t>αν το Β&lt;100.000;Β;0</t>
  </si>
  <si>
    <t>lam</t>
  </si>
  <si>
    <t>ZZ</t>
  </si>
  <si>
    <t>αν το επάνω&lt;10.000;0;5</t>
  </si>
  <si>
    <t xml:space="preserve">Vela   </t>
  </si>
  <si>
    <t>ZZZ</t>
  </si>
  <si>
    <t>Πληκτρολογήθηκαν αριθμοί</t>
  </si>
  <si>
    <t>αν το Β&lt;1.000.000;Β;0</t>
  </si>
  <si>
    <t>ZZZZ</t>
  </si>
  <si>
    <t>Γυρίστε το πληκτρολόγιο στα Αγγλικά</t>
  </si>
  <si>
    <t>αν το επάνω&lt;100.000;0;6</t>
  </si>
  <si>
    <t xml:space="preserve">Pisces  </t>
  </si>
  <si>
    <r>
      <t>Όλα τα παρακάτω =</t>
    </r>
    <r>
      <rPr>
        <b/>
        <sz val="11"/>
        <color rgb="FF00B050"/>
        <rFont val="Times New Roman"/>
        <family val="1"/>
        <charset val="161"/>
      </rPr>
      <t>12</t>
    </r>
    <r>
      <rPr>
        <sz val="11"/>
        <color theme="1"/>
        <rFont val="Times New Roman"/>
        <family val="1"/>
        <charset val="161"/>
      </rPr>
      <t xml:space="preserve"> ; 0</t>
    </r>
  </si>
  <si>
    <t xml:space="preserve">Pisces   </t>
  </si>
  <si>
    <t>mi</t>
  </si>
  <si>
    <t>me</t>
  </si>
  <si>
    <t xml:space="preserve">Camelopardalis   </t>
  </si>
  <si>
    <t>mu</t>
  </si>
  <si>
    <t>Κατάλογοι</t>
  </si>
  <si>
    <r>
      <t xml:space="preserve">αν </t>
    </r>
    <r>
      <rPr>
        <sz val="11"/>
        <color rgb="FFC00000"/>
        <rFont val="Times New Roman"/>
        <family val="1"/>
        <charset val="161"/>
      </rPr>
      <t>κόκκινη ΑΝ=2</t>
    </r>
    <r>
      <rPr>
        <sz val="11"/>
        <rFont val="Times New Roman"/>
        <family val="1"/>
        <charset val="161"/>
      </rPr>
      <t xml:space="preserve">; (Α);""                                       </t>
    </r>
  </si>
  <si>
    <r>
      <t>Όλα τα παρακάτω =</t>
    </r>
    <r>
      <rPr>
        <b/>
        <sz val="11"/>
        <color rgb="FF00B050"/>
        <rFont val="Times New Roman"/>
        <family val="1"/>
        <charset val="161"/>
      </rPr>
      <t>13</t>
    </r>
    <r>
      <rPr>
        <sz val="11"/>
        <color theme="1"/>
        <rFont val="Times New Roman"/>
        <family val="1"/>
        <charset val="161"/>
      </rPr>
      <t xml:space="preserve"> ; 0</t>
    </r>
  </si>
  <si>
    <t>αν το επάνω = Μ (Ελληνικό);1;0</t>
  </si>
  <si>
    <t>αν το επάνω=Μ Αγγλικό;1;0</t>
  </si>
  <si>
    <t>ni</t>
  </si>
  <si>
    <t>αν το επάνω=νγκ;2;0</t>
  </si>
  <si>
    <t xml:space="preserve">Fornax   </t>
  </si>
  <si>
    <t>ne</t>
  </si>
  <si>
    <t>αν το επάνω=εκ;2;0</t>
  </si>
  <si>
    <t>nu</t>
  </si>
  <si>
    <t>αν το επάνω=ω;4;0</t>
  </si>
  <si>
    <t xml:space="preserve">Cancer   </t>
  </si>
  <si>
    <r>
      <t xml:space="preserve">αν </t>
    </r>
    <r>
      <rPr>
        <sz val="11"/>
        <color rgb="FFC00000"/>
        <rFont val="Times New Roman"/>
        <family val="1"/>
        <charset val="161"/>
      </rPr>
      <t>isnuber=False</t>
    </r>
    <r>
      <rPr>
        <sz val="11"/>
        <color rgb="FF002060"/>
        <rFont val="Times New Roman"/>
        <family val="1"/>
        <charset val="161"/>
      </rPr>
      <t>;10;0</t>
    </r>
  </si>
  <si>
    <t xml:space="preserve">Cassiopeia   </t>
  </si>
  <si>
    <r>
      <t>Όλα τα παρακάτω =</t>
    </r>
    <r>
      <rPr>
        <b/>
        <sz val="11"/>
        <color rgb="FF00B050"/>
        <rFont val="Times New Roman"/>
        <family val="1"/>
        <charset val="161"/>
      </rPr>
      <t>14</t>
    </r>
    <r>
      <rPr>
        <sz val="11"/>
        <color theme="1"/>
        <rFont val="Times New Roman"/>
        <family val="1"/>
        <charset val="161"/>
      </rPr>
      <t xml:space="preserve"> ; 0</t>
    </r>
  </si>
  <si>
    <t xml:space="preserve">Cassiopeia  </t>
  </si>
  <si>
    <t>ksi</t>
  </si>
  <si>
    <t>NGC &amp; IC</t>
  </si>
  <si>
    <t xml:space="preserve">Centaurus   </t>
  </si>
  <si>
    <t>HD</t>
  </si>
  <si>
    <r>
      <t>Όλα τα παρακάτω =</t>
    </r>
    <r>
      <rPr>
        <b/>
        <sz val="11"/>
        <color rgb="FF00B050"/>
        <rFont val="Times New Roman"/>
        <family val="1"/>
        <charset val="161"/>
      </rPr>
      <t>15</t>
    </r>
    <r>
      <rPr>
        <sz val="11"/>
        <color theme="1"/>
        <rFont val="Times New Roman"/>
        <family val="1"/>
        <charset val="161"/>
      </rPr>
      <t xml:space="preserve"> ; 0</t>
    </r>
  </si>
  <si>
    <t xml:space="preserve">Cetus </t>
  </si>
  <si>
    <t>omikron</t>
  </si>
  <si>
    <t xml:space="preserve">Cepheus   </t>
  </si>
  <si>
    <t>omi</t>
  </si>
  <si>
    <t>Bayer</t>
  </si>
  <si>
    <r>
      <t>Όλα τα παρακάτω =</t>
    </r>
    <r>
      <rPr>
        <b/>
        <sz val="11"/>
        <color rgb="FF00B050"/>
        <rFont val="Times New Roman"/>
        <family val="1"/>
        <charset val="161"/>
      </rPr>
      <t>16</t>
    </r>
    <r>
      <rPr>
        <sz val="11"/>
        <color theme="1"/>
        <rFont val="Times New Roman"/>
        <family val="1"/>
        <charset val="161"/>
      </rPr>
      <t xml:space="preserve"> ; 0</t>
    </r>
  </si>
  <si>
    <t xml:space="preserve">Coma (Berenices)   </t>
  </si>
  <si>
    <t>pi</t>
  </si>
  <si>
    <r>
      <t>Όλα τα παρακάτω =</t>
    </r>
    <r>
      <rPr>
        <b/>
        <sz val="11"/>
        <color rgb="FF00B050"/>
        <rFont val="Times New Roman"/>
        <family val="1"/>
        <charset val="161"/>
      </rPr>
      <t>17</t>
    </r>
    <r>
      <rPr>
        <sz val="11"/>
        <color theme="1"/>
        <rFont val="Times New Roman"/>
        <family val="1"/>
        <charset val="161"/>
      </rPr>
      <t xml:space="preserve"> ; 0</t>
    </r>
  </si>
  <si>
    <t xml:space="preserve">Corvus   </t>
  </si>
  <si>
    <t>ro</t>
  </si>
  <si>
    <t xml:space="preserve">Crater </t>
  </si>
  <si>
    <r>
      <t>Όλα τα παρακάτω =</t>
    </r>
    <r>
      <rPr>
        <b/>
        <sz val="11"/>
        <color rgb="FF00B050"/>
        <rFont val="Times New Roman"/>
        <family val="1"/>
        <charset val="161"/>
      </rPr>
      <t>18</t>
    </r>
    <r>
      <rPr>
        <sz val="11"/>
        <color theme="1"/>
        <rFont val="Times New Roman"/>
        <family val="1"/>
        <charset val="161"/>
      </rPr>
      <t xml:space="preserve"> ; 0</t>
    </r>
  </si>
  <si>
    <t>sigma</t>
  </si>
  <si>
    <t>sig</t>
  </si>
  <si>
    <t xml:space="preserve">Aries   </t>
  </si>
  <si>
    <t xml:space="preserve">Cygnus   </t>
  </si>
  <si>
    <r>
      <t>Όλα τα παρακάτω =</t>
    </r>
    <r>
      <rPr>
        <b/>
        <sz val="11"/>
        <color rgb="FF00B050"/>
        <rFont val="Times New Roman"/>
        <family val="1"/>
        <charset val="161"/>
      </rPr>
      <t>19</t>
    </r>
    <r>
      <rPr>
        <sz val="11"/>
        <color theme="1"/>
        <rFont val="Times New Roman"/>
        <family val="1"/>
        <charset val="161"/>
      </rPr>
      <t xml:space="preserve"> ; 0</t>
    </r>
  </si>
  <si>
    <t xml:space="preserve">Lepus   </t>
  </si>
  <si>
    <t>tau</t>
  </si>
  <si>
    <r>
      <t>Όλα τα παρακάτω =</t>
    </r>
    <r>
      <rPr>
        <b/>
        <sz val="11"/>
        <color rgb="FF00B050"/>
        <rFont val="Times New Roman"/>
        <family val="1"/>
        <charset val="161"/>
      </rPr>
      <t>20</t>
    </r>
    <r>
      <rPr>
        <sz val="11"/>
        <color theme="1"/>
        <rFont val="Times New Roman"/>
        <family val="1"/>
        <charset val="161"/>
      </rPr>
      <t xml:space="preserve"> ; 0</t>
    </r>
  </si>
  <si>
    <t xml:space="preserve">Leo   </t>
  </si>
  <si>
    <t>upsilon</t>
  </si>
  <si>
    <t xml:space="preserve">Lynx  </t>
  </si>
  <si>
    <t>ups</t>
  </si>
  <si>
    <t xml:space="preserve">Lynx   </t>
  </si>
  <si>
    <r>
      <t>Όλα τα παρακάτω =</t>
    </r>
    <r>
      <rPr>
        <b/>
        <sz val="11"/>
        <color rgb="FF00B050"/>
        <rFont val="Times New Roman"/>
        <family val="1"/>
        <charset val="161"/>
      </rPr>
      <t>21</t>
    </r>
    <r>
      <rPr>
        <sz val="11"/>
        <color theme="1"/>
        <rFont val="Times New Roman"/>
        <family val="1"/>
        <charset val="161"/>
      </rPr>
      <t xml:space="preserve"> ; 0</t>
    </r>
  </si>
  <si>
    <t>fi</t>
  </si>
  <si>
    <t xml:space="preserve">Lupus   </t>
  </si>
  <si>
    <t>phi</t>
  </si>
  <si>
    <t xml:space="preserve">Lyra   </t>
  </si>
  <si>
    <r>
      <t>Όλα τα παρακάτω =</t>
    </r>
    <r>
      <rPr>
        <b/>
        <sz val="11"/>
        <color rgb="FF00B050"/>
        <rFont val="Times New Roman"/>
        <family val="1"/>
        <charset val="161"/>
      </rPr>
      <t>22</t>
    </r>
    <r>
      <rPr>
        <sz val="11"/>
        <color theme="1"/>
        <rFont val="Times New Roman"/>
        <family val="1"/>
        <charset val="161"/>
      </rPr>
      <t xml:space="preserve"> ; 0</t>
    </r>
  </si>
  <si>
    <t xml:space="preserve">Ursa Major   </t>
  </si>
  <si>
    <t xml:space="preserve">Ursa Major  </t>
  </si>
  <si>
    <t>hi</t>
  </si>
  <si>
    <t>he</t>
  </si>
  <si>
    <t>chi</t>
  </si>
  <si>
    <t xml:space="preserve">Canis Major   </t>
  </si>
  <si>
    <r>
      <t>Όλα τα παρακάτω =</t>
    </r>
    <r>
      <rPr>
        <b/>
        <sz val="11"/>
        <color rgb="FF00B050"/>
        <rFont val="Times New Roman"/>
        <family val="1"/>
        <charset val="161"/>
      </rPr>
      <t>23</t>
    </r>
    <r>
      <rPr>
        <sz val="11"/>
        <color theme="1"/>
        <rFont val="Times New Roman"/>
        <family val="1"/>
        <charset val="161"/>
      </rPr>
      <t xml:space="preserve"> ; 0</t>
    </r>
  </si>
  <si>
    <t>psi</t>
  </si>
  <si>
    <r>
      <t>Όλα τα παρακάτω =</t>
    </r>
    <r>
      <rPr>
        <b/>
        <sz val="11"/>
        <color rgb="FF00B050"/>
        <rFont val="Times New Roman"/>
        <family val="1"/>
        <charset val="161"/>
      </rPr>
      <t>24</t>
    </r>
    <r>
      <rPr>
        <sz val="11"/>
        <color theme="1"/>
        <rFont val="Times New Roman"/>
        <family val="1"/>
        <charset val="161"/>
      </rPr>
      <t xml:space="preserve"> ; 0</t>
    </r>
  </si>
  <si>
    <t>omega</t>
  </si>
  <si>
    <t>ome</t>
  </si>
  <si>
    <t>άθροισμα των γαλάζιων</t>
  </si>
  <si>
    <r>
      <t>Όλα τα παρακάτω =</t>
    </r>
    <r>
      <rPr>
        <b/>
        <sz val="11"/>
        <color rgb="FF00B050"/>
        <rFont val="Times New Roman"/>
        <family val="1"/>
        <charset val="161"/>
      </rPr>
      <t>25</t>
    </r>
    <r>
      <rPr>
        <sz val="11"/>
        <color theme="1"/>
        <rFont val="Times New Roman"/>
        <family val="1"/>
        <charset val="161"/>
      </rPr>
      <t xml:space="preserve"> ; 0</t>
    </r>
  </si>
  <si>
    <r>
      <t xml:space="preserve">Μ </t>
    </r>
    <r>
      <rPr>
        <sz val="11"/>
        <rFont val="Times New Roman"/>
        <family val="1"/>
        <charset val="161"/>
      </rPr>
      <t>(Αγγλικό πληκτρολόγιο)</t>
    </r>
  </si>
  <si>
    <r>
      <t>Όλα τα παρακάτω =</t>
    </r>
    <r>
      <rPr>
        <b/>
        <sz val="11"/>
        <color rgb="FF00B050"/>
        <rFont val="Times New Roman"/>
        <family val="1"/>
        <charset val="161"/>
      </rPr>
      <t>26</t>
    </r>
    <r>
      <rPr>
        <sz val="11"/>
        <color theme="1"/>
        <rFont val="Times New Roman"/>
        <family val="1"/>
        <charset val="161"/>
      </rPr>
      <t xml:space="preserve"> ; 0</t>
    </r>
  </si>
  <si>
    <t xml:space="preserve">Ursa Minor   </t>
  </si>
  <si>
    <t>NGC</t>
  </si>
  <si>
    <t xml:space="preserve">Ursa Minor  </t>
  </si>
  <si>
    <t>ΝΓΚ</t>
  </si>
  <si>
    <t xml:space="preserve">Canis Minor  </t>
  </si>
  <si>
    <r>
      <t>Όλα τα παρακάτω =</t>
    </r>
    <r>
      <rPr>
        <b/>
        <sz val="11"/>
        <color rgb="FF00B050"/>
        <rFont val="Times New Roman"/>
        <family val="1"/>
        <charset val="161"/>
      </rPr>
      <t>27</t>
    </r>
    <r>
      <rPr>
        <sz val="11"/>
        <color theme="1"/>
        <rFont val="Times New Roman"/>
        <family val="1"/>
        <charset val="161"/>
      </rPr>
      <t xml:space="preserve"> ; 0</t>
    </r>
  </si>
  <si>
    <t xml:space="preserve">Canis Minor   </t>
  </si>
  <si>
    <t>ΕΚ</t>
  </si>
  <si>
    <t>IC</t>
  </si>
  <si>
    <r>
      <t>Όλα τα παρακάτω =</t>
    </r>
    <r>
      <rPr>
        <b/>
        <sz val="11"/>
        <color rgb="FF00B050"/>
        <rFont val="Times New Roman"/>
        <family val="1"/>
        <charset val="161"/>
      </rPr>
      <t>28</t>
    </r>
    <r>
      <rPr>
        <sz val="11"/>
        <color theme="1"/>
        <rFont val="Times New Roman"/>
        <family val="1"/>
        <charset val="161"/>
      </rPr>
      <t xml:space="preserve"> ; 0</t>
    </r>
  </si>
  <si>
    <t xml:space="preserve">Leo Minor   </t>
  </si>
  <si>
    <t>άθροισμα των γαλάζιων και</t>
  </si>
  <si>
    <t>του επάνω πράσινου</t>
  </si>
  <si>
    <t xml:space="preserve">Έξοδος προς πρόγραμμα 4) Σύνθεση </t>
  </si>
  <si>
    <t xml:space="preserve">Microscopium   </t>
  </si>
  <si>
    <t xml:space="preserve">Microscopium  </t>
  </si>
  <si>
    <t xml:space="preserve">Monoceros   </t>
  </si>
  <si>
    <t xml:space="preserve">Piscis Austrinus   </t>
  </si>
  <si>
    <t xml:space="preserve">Piscis Austrinus  </t>
  </si>
  <si>
    <t xml:space="preserve">Ophiuchus   </t>
  </si>
  <si>
    <t xml:space="preserve">Serpans   </t>
  </si>
  <si>
    <t xml:space="preserve">Virgo   </t>
  </si>
  <si>
    <t xml:space="preserve">Columba   </t>
  </si>
  <si>
    <t xml:space="preserve">Perseus   </t>
  </si>
  <si>
    <t xml:space="preserve">Pegasus   </t>
  </si>
  <si>
    <t xml:space="preserve">Puppis   </t>
  </si>
  <si>
    <t xml:space="preserve">Pyxis   </t>
  </si>
  <si>
    <t xml:space="preserve">Lacerta   </t>
  </si>
  <si>
    <t xml:space="preserve">Scorpius  </t>
  </si>
  <si>
    <t xml:space="preserve">Scorpius   </t>
  </si>
  <si>
    <t xml:space="preserve">Taurus   </t>
  </si>
  <si>
    <t xml:space="preserve">Sagittarius   </t>
  </si>
  <si>
    <t xml:space="preserve">Triangulum   </t>
  </si>
  <si>
    <t xml:space="preserve">Carina   </t>
  </si>
  <si>
    <t xml:space="preserve">Hydra  </t>
  </si>
  <si>
    <t xml:space="preserve">Hydra   </t>
  </si>
  <si>
    <t xml:space="preserve">Aquarius  </t>
  </si>
  <si>
    <t xml:space="preserve">Aquarius   </t>
  </si>
  <si>
    <t xml:space="preserve">Phoenix   </t>
  </si>
  <si>
    <t xml:space="preserve">Orion   </t>
  </si>
  <si>
    <t xml:space="preserve">Έξοδος προς τον κεντρικό κατάλογο </t>
  </si>
  <si>
    <t>αν το επάνω=FALSE;1;είσοδος</t>
  </si>
  <si>
    <t>Διεθνές 2</t>
  </si>
  <si>
    <t>Ελληνικό 1</t>
  </si>
  <si>
    <r>
      <t xml:space="preserve">              </t>
    </r>
    <r>
      <rPr>
        <b/>
        <sz val="11"/>
        <color rgb="FF7030A0"/>
        <rFont val="Times New Roman"/>
        <family val="1"/>
        <charset val="161"/>
      </rPr>
      <t>Νυχτερινή</t>
    </r>
    <r>
      <rPr>
        <sz val="11"/>
        <color theme="1"/>
        <rFont val="Times New Roman"/>
        <family val="1"/>
        <charset val="161"/>
      </rPr>
      <t xml:space="preserve"> Οθόνη</t>
    </r>
    <r>
      <rPr>
        <b/>
        <sz val="11"/>
        <color rgb="FFFF0000"/>
        <rFont val="Times New Roman"/>
        <family val="1"/>
        <charset val="161"/>
      </rPr>
      <t xml:space="preserve"> 1</t>
    </r>
  </si>
  <si>
    <r>
      <t xml:space="preserve">             </t>
    </r>
    <r>
      <rPr>
        <b/>
        <sz val="11"/>
        <color rgb="FF7030A0"/>
        <rFont val="Times New Roman"/>
        <family val="1"/>
        <charset val="161"/>
      </rPr>
      <t xml:space="preserve"> Νυχτερινή</t>
    </r>
    <r>
      <rPr>
        <sz val="11"/>
        <color theme="1"/>
        <rFont val="Times New Roman"/>
        <family val="1"/>
        <charset val="161"/>
      </rPr>
      <t xml:space="preserve"> Οθόνη </t>
    </r>
    <r>
      <rPr>
        <b/>
        <sz val="11"/>
        <color rgb="FFFF0000"/>
        <rFont val="Times New Roman"/>
        <family val="1"/>
        <charset val="161"/>
      </rPr>
      <t>2</t>
    </r>
  </si>
  <si>
    <t>Έξοδος EQ ΑΠΟ-ΠΡΟΣ</t>
  </si>
  <si>
    <t xml:space="preserve">Έξοδος προς το πρόγραμμα μετάπτωσης </t>
  </si>
  <si>
    <t>Είσοδος απο οθώνη επιλογής προγράμματος</t>
  </si>
  <si>
    <t xml:space="preserve">Έτος </t>
  </si>
  <si>
    <t xml:space="preserve">Έξοδος </t>
  </si>
  <si>
    <t xml:space="preserve">   ENTER</t>
  </si>
  <si>
    <t xml:space="preserve">   Αστερισμός (ολογράφως)</t>
  </si>
  <si>
    <t xml:space="preserve">      ENTER</t>
  </si>
  <si>
    <t>2) Μετάφραση (Α) κελιού - 1</t>
  </si>
  <si>
    <r>
      <t>3) Μετάφραση (</t>
    </r>
    <r>
      <rPr>
        <b/>
        <sz val="11"/>
        <color rgb="FF0070C0"/>
        <rFont val="Times New Roman"/>
        <family val="1"/>
        <charset val="161"/>
      </rPr>
      <t>Β</t>
    </r>
    <r>
      <rPr>
        <b/>
        <sz val="11"/>
        <rFont val="Times New Roman"/>
        <family val="1"/>
        <charset val="161"/>
      </rPr>
      <t>) κελιού -2</t>
    </r>
  </si>
  <si>
    <t xml:space="preserve">              Άστρο ή</t>
  </si>
  <si>
    <t xml:space="preserve">           κατάλογος</t>
  </si>
  <si>
    <t>(Α)</t>
  </si>
  <si>
    <t>(Β)</t>
  </si>
  <si>
    <t>Προσαρμογή μηνυμάτων</t>
  </si>
  <si>
    <r>
      <t xml:space="preserve">αν </t>
    </r>
    <r>
      <rPr>
        <sz val="11"/>
        <color rgb="FFC00000"/>
        <rFont val="Times New Roman"/>
        <family val="1"/>
        <charset val="161"/>
      </rPr>
      <t>κόκκινη ΑΝ=1</t>
    </r>
    <r>
      <rPr>
        <sz val="11"/>
        <rFont val="Times New Roman"/>
        <family val="1"/>
        <charset val="161"/>
      </rPr>
      <t>; (Β);""     Αστερισμός</t>
    </r>
  </si>
  <si>
    <t>Αριθμός Λάθους</t>
  </si>
  <si>
    <r>
      <t xml:space="preserve">Lookup </t>
    </r>
    <r>
      <rPr>
        <sz val="11"/>
        <color rgb="FFFF0000"/>
        <rFont val="Times New Roman"/>
        <family val="1"/>
        <charset val="161"/>
      </rPr>
      <t>Αριθμός Λάθους</t>
    </r>
  </si>
  <si>
    <t>ωωω γ</t>
  </si>
  <si>
    <t>Στα</t>
  </si>
  <si>
    <t>Αγγλικά</t>
  </si>
  <si>
    <t>Γυρίστε</t>
  </si>
  <si>
    <t>Το πλη-</t>
  </si>
  <si>
    <t>κτρολόγιο</t>
  </si>
  <si>
    <r>
      <t xml:space="preserve">αν Αριθμός </t>
    </r>
    <r>
      <rPr>
        <sz val="11"/>
        <color rgb="FFFF0000"/>
        <rFont val="Times New Roman"/>
        <family val="1"/>
        <charset val="161"/>
      </rPr>
      <t>Λάθους=3</t>
    </r>
    <r>
      <rPr>
        <sz val="11"/>
        <color theme="1"/>
        <rFont val="Times New Roman"/>
        <family val="1"/>
        <charset val="161"/>
      </rPr>
      <t>; "ωωω γ";το επάνω</t>
    </r>
  </si>
  <si>
    <t>αν isnumber=False;το επάνω; είσοδος</t>
  </si>
  <si>
    <t>e</t>
  </si>
  <si>
    <t>Λάθος πληκτρολόγηση στον αστερισμό</t>
  </si>
  <si>
    <t>ωωω δ</t>
  </si>
  <si>
    <t>πληκτρο-</t>
  </si>
  <si>
    <t>λόγηση</t>
  </si>
  <si>
    <t>στον</t>
  </si>
  <si>
    <t>αστε-</t>
  </si>
  <si>
    <t>ρισμό</t>
  </si>
  <si>
    <t>Λάθος πληκτρολόγηση</t>
  </si>
  <si>
    <t>στον αστερισμό</t>
  </si>
  <si>
    <r>
      <t xml:space="preserve">αν Αριθμός </t>
    </r>
    <r>
      <rPr>
        <sz val="11"/>
        <color rgb="FFFF0000"/>
        <rFont val="Times New Roman"/>
        <family val="1"/>
        <charset val="161"/>
      </rPr>
      <t>Λάθους=1</t>
    </r>
    <r>
      <rPr>
        <sz val="11"/>
        <color theme="1"/>
        <rFont val="Times New Roman"/>
        <family val="1"/>
        <charset val="161"/>
      </rPr>
      <t>; "ωωω δ";το γκρί</t>
    </r>
  </si>
  <si>
    <t>αν το είσοδος="ωωω δ";"ωωω δ";αποτέλεσμα)</t>
  </si>
  <si>
    <t xml:space="preserve">αν είσοδος=ωωω γ;είσοδος;το επάνω  </t>
  </si>
  <si>
    <t>Γυρίστε το πληκτρολόγιο</t>
  </si>
  <si>
    <t>στα Αγγλικά</t>
  </si>
  <si>
    <t>ααα</t>
  </si>
  <si>
    <t>αν το επάνω=ααα;5;0</t>
  </si>
  <si>
    <t>CONCATENATE 1 ψηφίου</t>
  </si>
  <si>
    <t>kappa</t>
  </si>
  <si>
    <t>omicron</t>
  </si>
  <si>
    <t>hypsilon</t>
  </si>
  <si>
    <t>hyps</t>
  </si>
  <si>
    <t>αν άθροισμα καταλόγων =0;ωωωω;το επάνω</t>
  </si>
  <si>
    <t>αν κελί (Α)=0;0;1</t>
  </si>
  <si>
    <t>αν κελί (Β)=0;0;1</t>
  </si>
  <si>
    <t>αν άθροισμα=0;""΄;το επάνω</t>
  </si>
  <si>
    <r>
      <t xml:space="preserve">                             </t>
    </r>
    <r>
      <rPr>
        <b/>
        <sz val="11"/>
        <color rgb="FFFF0000"/>
        <rFont val="Times New Roman"/>
        <family val="1"/>
        <charset val="161"/>
      </rPr>
      <t xml:space="preserve">      </t>
    </r>
    <r>
      <rPr>
        <sz val="11"/>
        <color rgb="FFFF0000"/>
        <rFont val="Times New Roman"/>
        <family val="1"/>
        <charset val="161"/>
      </rPr>
      <t>Δεκαδικό</t>
    </r>
  </si>
  <si>
    <t xml:space="preserve">            Ωρες</t>
  </si>
  <si>
    <t xml:space="preserve">          Λεπτά</t>
  </si>
  <si>
    <t xml:space="preserve">          Μοίρες</t>
  </si>
  <si>
    <t xml:space="preserve">           Λεπτά</t>
  </si>
  <si>
    <t xml:space="preserve"> Δευτερόλεπτα</t>
  </si>
  <si>
    <t xml:space="preserve">       Δεκαδικό</t>
  </si>
  <si>
    <t xml:space="preserve">         Δεκδικό</t>
  </si>
  <si>
    <t>2/32018</t>
  </si>
  <si>
    <r>
      <rPr>
        <b/>
        <sz val="11"/>
        <color rgb="FF7030A0"/>
        <rFont val="Times New Roman"/>
        <family val="1"/>
        <charset val="161"/>
      </rPr>
      <t xml:space="preserve">α β γ δ ε ζ η θ   </t>
    </r>
    <r>
      <rPr>
        <b/>
        <sz val="11"/>
        <color theme="9" tint="-0.249977111117893"/>
        <rFont val="Times New Roman"/>
        <family val="1"/>
        <charset val="161"/>
      </rPr>
      <t>(</t>
    </r>
    <r>
      <rPr>
        <sz val="11"/>
        <color theme="9" tint="-0.249977111117893"/>
        <rFont val="Times New Roman"/>
        <family val="1"/>
        <charset val="161"/>
      </rPr>
      <t xml:space="preserve">Σχόλιο)   </t>
    </r>
    <r>
      <rPr>
        <sz val="11"/>
        <color rgb="FF7030A0"/>
        <rFont val="Times New Roman"/>
        <family val="1"/>
        <charset val="161"/>
      </rPr>
      <t xml:space="preserve">     </t>
    </r>
    <r>
      <rPr>
        <sz val="11"/>
        <color theme="1"/>
        <rFont val="Times New Roman"/>
        <family val="1"/>
        <charset val="161"/>
      </rPr>
      <t xml:space="preserve"> Ώρες</t>
    </r>
  </si>
  <si>
    <r>
      <rPr>
        <b/>
        <sz val="11"/>
        <color rgb="FF7030A0"/>
        <rFont val="Times New Roman"/>
        <family val="1"/>
        <charset val="161"/>
      </rPr>
      <t>ι κ λ μ ν ξ ο π</t>
    </r>
    <r>
      <rPr>
        <sz val="11"/>
        <color theme="1"/>
        <rFont val="Times New Roman"/>
        <family val="1"/>
        <charset val="161"/>
      </rPr>
      <t xml:space="preserve">   </t>
    </r>
    <r>
      <rPr>
        <sz val="11"/>
        <color theme="9" tint="-0.249977111117893"/>
        <rFont val="Times New Roman"/>
        <family val="1"/>
        <charset val="161"/>
      </rPr>
      <t xml:space="preserve">(Σχόλιο)        </t>
    </r>
    <r>
      <rPr>
        <sz val="11"/>
        <color theme="1"/>
        <rFont val="Times New Roman"/>
        <family val="1"/>
        <charset val="161"/>
      </rPr>
      <t xml:space="preserve">Λεπτά </t>
    </r>
  </si>
  <si>
    <r>
      <rPr>
        <b/>
        <sz val="11"/>
        <color rgb="FF7030A0"/>
        <rFont val="Times New Roman"/>
        <family val="1"/>
        <charset val="161"/>
      </rPr>
      <t xml:space="preserve">ρ σ τ υ φ χ ψ ω          </t>
    </r>
    <r>
      <rPr>
        <sz val="11"/>
        <color theme="1"/>
        <rFont val="Times New Roman"/>
        <family val="1"/>
        <charset val="161"/>
      </rPr>
      <t>Δευτερόλεπτα</t>
    </r>
  </si>
  <si>
    <t xml:space="preserve">                                               Λεπτά</t>
  </si>
  <si>
    <t xml:space="preserve">                                   Δευτερόλεπτα </t>
  </si>
  <si>
    <t xml:space="preserve">                                   ΕΤΟΣ</t>
  </si>
  <si>
    <t xml:space="preserve">                 Ωρες</t>
  </si>
  <si>
    <t xml:space="preserve">               Λεπτά</t>
  </si>
  <si>
    <t xml:space="preserve">  Δευτερόλρπτα</t>
  </si>
  <si>
    <t xml:space="preserve">              Λεπτά</t>
  </si>
  <si>
    <r>
      <rPr>
        <b/>
        <sz val="11"/>
        <color rgb="FF7030A0"/>
        <rFont val="Times New Roman"/>
        <family val="1"/>
        <charset val="161"/>
      </rPr>
      <t xml:space="preserve">α β γ δ ε ζ η θ      </t>
    </r>
    <r>
      <rPr>
        <b/>
        <sz val="11"/>
        <color theme="9" tint="-0.249977111117893"/>
        <rFont val="Times New Roman"/>
        <family val="1"/>
        <charset val="161"/>
      </rPr>
      <t>(</t>
    </r>
    <r>
      <rPr>
        <sz val="11"/>
        <color theme="9" tint="-0.249977111117893"/>
        <rFont val="Times New Roman"/>
        <family val="1"/>
        <charset val="161"/>
      </rPr>
      <t>Σχόλιο)</t>
    </r>
    <r>
      <rPr>
        <sz val="11"/>
        <color rgb="FF7030A0"/>
        <rFont val="Times New Roman"/>
        <family val="1"/>
        <charset val="161"/>
      </rPr>
      <t xml:space="preserve">      </t>
    </r>
    <r>
      <rPr>
        <sz val="11"/>
        <color theme="1"/>
        <rFont val="Times New Roman"/>
        <family val="1"/>
        <charset val="161"/>
      </rPr>
      <t>Ώρες</t>
    </r>
  </si>
  <si>
    <r>
      <rPr>
        <b/>
        <sz val="11"/>
        <color rgb="FF7030A0"/>
        <rFont val="Times New Roman"/>
        <family val="1"/>
        <charset val="161"/>
      </rPr>
      <t>ι κ λ μ ν ξ ο π</t>
    </r>
    <r>
      <rPr>
        <sz val="11"/>
        <color theme="1"/>
        <rFont val="Times New Roman"/>
        <family val="1"/>
        <charset val="161"/>
      </rPr>
      <t xml:space="preserve">    </t>
    </r>
    <r>
      <rPr>
        <sz val="11"/>
        <color theme="9" tint="-0.249977111117893"/>
        <rFont val="Times New Roman"/>
        <family val="1"/>
        <charset val="161"/>
      </rPr>
      <t xml:space="preserve">(Σχόλιο)      </t>
    </r>
    <r>
      <rPr>
        <sz val="11"/>
        <color theme="1"/>
        <rFont val="Times New Roman"/>
        <family val="1"/>
        <charset val="161"/>
      </rPr>
      <t xml:space="preserve">Λεπτά </t>
    </r>
  </si>
  <si>
    <r>
      <rPr>
        <b/>
        <sz val="11"/>
        <color rgb="FF7030A0"/>
        <rFont val="Times New Roman"/>
        <family val="1"/>
        <charset val="161"/>
      </rPr>
      <t xml:space="preserve">ρ σ τ υ φ χ ψ ω         </t>
    </r>
    <r>
      <rPr>
        <sz val="11"/>
        <color theme="1"/>
        <rFont val="Times New Roman"/>
        <family val="1"/>
        <charset val="161"/>
      </rPr>
      <t>Δευτερόλεπτα</t>
    </r>
  </si>
  <si>
    <r>
      <rPr>
        <b/>
        <sz val="11"/>
        <color rgb="FF7030A0"/>
        <rFont val="Times New Roman"/>
        <family val="1"/>
        <charset val="161"/>
      </rPr>
      <t xml:space="preserve">                                         </t>
    </r>
    <r>
      <rPr>
        <sz val="11"/>
        <color theme="1"/>
        <rFont val="Times New Roman"/>
        <family val="1"/>
        <charset val="161"/>
      </rPr>
      <t>Δεκαδικό</t>
    </r>
  </si>
  <si>
    <t xml:space="preserve">                                              Μοίρες</t>
  </si>
  <si>
    <t xml:space="preserve">                Ωρες</t>
  </si>
  <si>
    <t xml:space="preserve">                    ΑΠΟ                Ορθή Αναφορά       ΑΠΟΤΈΛΕΣΜΑ</t>
  </si>
  <si>
    <t xml:space="preserve">                   ΑΠΟ                         Απόκλιση       ΑΠΟΤΕΛΕΣΜΑ</t>
  </si>
  <si>
    <r>
      <rPr>
        <b/>
        <sz val="11"/>
        <color rgb="FF00B050"/>
        <rFont val="Times New Roman"/>
        <family val="1"/>
        <charset val="161"/>
      </rPr>
      <t xml:space="preserve">ΠΡΟΣ </t>
    </r>
    <r>
      <rPr>
        <b/>
        <sz val="11"/>
        <color rgb="FFFF0000"/>
        <rFont val="Times New Roman"/>
        <family val="1"/>
        <charset val="161"/>
      </rPr>
      <t xml:space="preserve">            Απόκλιση</t>
    </r>
  </si>
  <si>
    <r>
      <rPr>
        <b/>
        <sz val="11"/>
        <color rgb="FF00B050"/>
        <rFont val="Times New Roman"/>
        <family val="1"/>
        <charset val="161"/>
      </rPr>
      <t xml:space="preserve">ΠΡΟΣ    </t>
    </r>
    <r>
      <rPr>
        <b/>
        <sz val="11"/>
        <color rgb="FFFF0000"/>
        <rFont val="Times New Roman"/>
        <family val="1"/>
        <charset val="161"/>
      </rPr>
      <t xml:space="preserve">  Ορθη Αναφορα</t>
    </r>
  </si>
  <si>
    <t xml:space="preserve">                   ΑΠΟ                                   Απόκλιση        ΑΠΟΤΕΛΕΣΜΑ</t>
  </si>
  <si>
    <r>
      <t xml:space="preserve">                    </t>
    </r>
    <r>
      <rPr>
        <b/>
        <sz val="11"/>
        <color rgb="FFC00000"/>
        <rFont val="Times New Roman"/>
        <family val="1"/>
        <charset val="161"/>
      </rPr>
      <t>ΑΠΟ</t>
    </r>
    <r>
      <rPr>
        <b/>
        <sz val="11"/>
        <color theme="1"/>
        <rFont val="Times New Roman"/>
        <family val="1"/>
        <charset val="161"/>
      </rPr>
      <t xml:space="preserve">                         Ορθή Αναφορά        ΑΠΟΤΈΛΕΣΜΑ</t>
    </r>
  </si>
  <si>
    <r>
      <rPr>
        <b/>
        <sz val="11"/>
        <color rgb="FF00B050"/>
        <rFont val="Times New Roman"/>
        <family val="1"/>
        <charset val="161"/>
      </rPr>
      <t xml:space="preserve">ΠΡΟΣ        </t>
    </r>
    <r>
      <rPr>
        <b/>
        <sz val="11"/>
        <color theme="1"/>
        <rFont val="Times New Roman"/>
        <family val="1"/>
        <charset val="161"/>
      </rPr>
      <t>Ορθη Αναφορα</t>
    </r>
  </si>
  <si>
    <r>
      <t xml:space="preserve">ΠΡΟΣ                </t>
    </r>
    <r>
      <rPr>
        <b/>
        <sz val="11"/>
        <rFont val="Times New Roman"/>
        <family val="1"/>
        <charset val="161"/>
      </rPr>
      <t>Απόκλιση</t>
    </r>
  </si>
  <si>
    <r>
      <t xml:space="preserve">                        </t>
    </r>
    <r>
      <rPr>
        <b/>
        <sz val="11"/>
        <color rgb="FFC00000"/>
        <rFont val="Times New Roman"/>
        <family val="1"/>
        <charset val="161"/>
      </rPr>
      <t>ΑΠΟ</t>
    </r>
    <r>
      <rPr>
        <b/>
        <sz val="11"/>
        <color theme="1"/>
        <rFont val="Times New Roman"/>
        <family val="1"/>
        <charset val="161"/>
      </rPr>
      <t xml:space="preserve">                           Απόκλιση            ΑΠΟΤΕΛΕΣΜΑ</t>
    </r>
  </si>
  <si>
    <r>
      <t xml:space="preserve">                         </t>
    </r>
    <r>
      <rPr>
        <b/>
        <sz val="11"/>
        <color rgb="FFC00000"/>
        <rFont val="Times New Roman"/>
        <family val="1"/>
        <charset val="161"/>
      </rPr>
      <t>ΑΠΟ</t>
    </r>
    <r>
      <rPr>
        <b/>
        <sz val="11"/>
        <color theme="1"/>
        <rFont val="Times New Roman"/>
        <family val="1"/>
        <charset val="161"/>
      </rPr>
      <t xml:space="preserve">                    Ορθή Αναφορά         ΑΠΟΤΈΛΕΣΜΑ</t>
    </r>
  </si>
  <si>
    <t>Λεπτά.............</t>
  </si>
  <si>
    <t>Στροφές.............</t>
  </si>
  <si>
    <t>Μοίρες..............</t>
  </si>
  <si>
    <t>Στροφές..............</t>
  </si>
  <si>
    <t>Στροφές..........</t>
  </si>
  <si>
    <t>Μοίρες.............</t>
  </si>
  <si>
    <t>Λεπτά...............</t>
  </si>
  <si>
    <t>Μοίρες............</t>
  </si>
  <si>
    <r>
      <rPr>
        <b/>
        <sz val="11"/>
        <color rgb="FF00B050"/>
        <rFont val="Times New Roman"/>
        <family val="1"/>
        <charset val="161"/>
      </rPr>
      <t>α β γ δ ε ζ η θ</t>
    </r>
    <r>
      <rPr>
        <b/>
        <sz val="11"/>
        <color rgb="FFFF0000"/>
        <rFont val="Times New Roman"/>
        <family val="1"/>
        <charset val="161"/>
      </rPr>
      <t xml:space="preserve">   (</t>
    </r>
    <r>
      <rPr>
        <sz val="11"/>
        <color rgb="FFFF0000"/>
        <rFont val="Times New Roman"/>
        <family val="1"/>
        <charset val="161"/>
      </rPr>
      <t>Σχόλιο)    Ώρες</t>
    </r>
  </si>
  <si>
    <r>
      <rPr>
        <b/>
        <sz val="11"/>
        <color rgb="FF00B050"/>
        <rFont val="Times New Roman"/>
        <family val="1"/>
        <charset val="161"/>
      </rPr>
      <t>ι κ λ μ ν ξ ο π</t>
    </r>
    <r>
      <rPr>
        <b/>
        <sz val="11"/>
        <color rgb="FFFF0000"/>
        <rFont val="Times New Roman"/>
        <family val="1"/>
        <charset val="161"/>
      </rPr>
      <t xml:space="preserve"> </t>
    </r>
    <r>
      <rPr>
        <sz val="11"/>
        <color rgb="FFFF0000"/>
        <rFont val="Times New Roman"/>
        <family val="1"/>
        <charset val="161"/>
      </rPr>
      <t xml:space="preserve"> (Σχόλιο)   Λεπτά </t>
    </r>
  </si>
  <si>
    <r>
      <rPr>
        <b/>
        <sz val="11"/>
        <color rgb="FF00B050"/>
        <rFont val="Times New Roman"/>
        <family val="1"/>
        <charset val="161"/>
      </rPr>
      <t>ρ σ τ υ φ χ ψ ω</t>
    </r>
    <r>
      <rPr>
        <b/>
        <sz val="11"/>
        <color rgb="FFFF0000"/>
        <rFont val="Times New Roman"/>
        <family val="1"/>
        <charset val="161"/>
      </rPr>
      <t xml:space="preserve">     </t>
    </r>
    <r>
      <rPr>
        <sz val="11"/>
        <color rgb="FFFF0000"/>
        <rFont val="Times New Roman"/>
        <family val="1"/>
        <charset val="161"/>
      </rPr>
      <t>Δευτερόλεπτα</t>
    </r>
  </si>
  <si>
    <r>
      <rPr>
        <sz val="11"/>
        <color rgb="FF00B050"/>
        <rFont val="Times New Roman"/>
        <family val="1"/>
        <charset val="161"/>
      </rPr>
      <t xml:space="preserve"> </t>
    </r>
    <r>
      <rPr>
        <b/>
        <sz val="11"/>
        <color rgb="FF00B050"/>
        <rFont val="Times New Roman"/>
        <family val="1"/>
        <charset val="161"/>
      </rPr>
      <t>ααα 0</t>
    </r>
    <r>
      <rPr>
        <b/>
        <sz val="11"/>
        <color rgb="FFC00000"/>
        <rFont val="Times New Roman"/>
        <family val="1"/>
        <charset val="161"/>
      </rPr>
      <t xml:space="preserve"> </t>
    </r>
    <r>
      <rPr>
        <sz val="11"/>
        <color rgb="FFC00000"/>
        <rFont val="Times New Roman"/>
        <family val="1"/>
        <charset val="161"/>
      </rPr>
      <t xml:space="preserve">έως και </t>
    </r>
    <r>
      <rPr>
        <b/>
        <sz val="11"/>
        <color rgb="FF00B050"/>
        <rFont val="Times New Roman"/>
        <family val="1"/>
        <charset val="161"/>
      </rPr>
      <t>ααα 9</t>
    </r>
    <r>
      <rPr>
        <b/>
        <sz val="11"/>
        <color rgb="FFC00000"/>
        <rFont val="Times New Roman"/>
        <family val="1"/>
        <charset val="161"/>
      </rPr>
      <t xml:space="preserve"> </t>
    </r>
    <r>
      <rPr>
        <sz val="11"/>
        <color rgb="FFC00000"/>
        <rFont val="Times New Roman"/>
        <family val="1"/>
        <charset val="161"/>
      </rPr>
      <t xml:space="preserve"> Καινές θέσεις.</t>
    </r>
  </si>
  <si>
    <r>
      <rPr>
        <b/>
        <sz val="11"/>
        <color rgb="FF00B050"/>
        <rFont val="Times New Roman"/>
        <family val="1"/>
        <charset val="161"/>
      </rPr>
      <t>ααα 0</t>
    </r>
    <r>
      <rPr>
        <sz val="11"/>
        <color rgb="FFFF0000"/>
        <rFont val="Times New Roman"/>
        <family val="1"/>
        <charset val="161"/>
      </rPr>
      <t xml:space="preserve"> έως </t>
    </r>
    <r>
      <rPr>
        <b/>
        <sz val="11"/>
        <color rgb="FF00B050"/>
        <rFont val="Times New Roman"/>
        <family val="1"/>
        <charset val="161"/>
      </rPr>
      <t>ααα 9</t>
    </r>
    <r>
      <rPr>
        <sz val="11"/>
        <color rgb="FFFF0000"/>
        <rFont val="Times New Roman"/>
        <family val="1"/>
        <charset val="161"/>
      </rPr>
      <t xml:space="preserve"> καινές θέσεις</t>
    </r>
  </si>
  <si>
    <t xml:space="preserve">             Μοίρες</t>
  </si>
  <si>
    <t>Λεπτά........</t>
  </si>
  <si>
    <t>Στροφές......</t>
  </si>
  <si>
    <t xml:space="preserve">                         ENTER</t>
  </si>
</sst>
</file>

<file path=xl/styles.xml><?xml version="1.0" encoding="utf-8"?>
<styleSheet xmlns="http://schemas.openxmlformats.org/spreadsheetml/2006/main">
  <numFmts count="4">
    <numFmt numFmtId="43" formatCode="_-* #,##0.00\ _€_-;\-* #,##0.00\ _€_-;_-* &quot;-&quot;??\ _€_-;_-@_-"/>
    <numFmt numFmtId="164" formatCode="_-* #,##0\ _€_-;\-* #,##0\ _€_-;_-* &quot;-&quot;??\ _€_-;_-@_-"/>
    <numFmt numFmtId="165" formatCode="0.0000"/>
    <numFmt numFmtId="166" formatCode="0.0"/>
  </numFmts>
  <fonts count="79">
    <font>
      <sz val="11"/>
      <color theme="1"/>
      <name val="Calibri"/>
      <family val="2"/>
      <charset val="161"/>
      <scheme val="minor"/>
    </font>
    <font>
      <sz val="11"/>
      <color theme="1"/>
      <name val="Times New Roman"/>
      <family val="1"/>
      <charset val="161"/>
    </font>
    <font>
      <sz val="11"/>
      <color theme="1"/>
      <name val="Calibri"/>
      <family val="2"/>
      <charset val="161"/>
      <scheme val="minor"/>
    </font>
    <font>
      <b/>
      <sz val="11"/>
      <color theme="1"/>
      <name val="Times New Roman"/>
      <family val="1"/>
      <charset val="161"/>
    </font>
    <font>
      <sz val="10"/>
      <color rgb="FF010101"/>
      <name val="Times New Roman"/>
      <family val="1"/>
      <charset val="161"/>
    </font>
    <font>
      <sz val="11"/>
      <color rgb="FFC00000"/>
      <name val="Times New Roman"/>
      <family val="1"/>
      <charset val="161"/>
    </font>
    <font>
      <sz val="11"/>
      <color rgb="FFC00000"/>
      <name val="Calibri"/>
      <family val="2"/>
      <charset val="161"/>
      <scheme val="minor"/>
    </font>
    <font>
      <sz val="11"/>
      <name val="Times New Roman"/>
      <family val="1"/>
      <charset val="161"/>
    </font>
    <font>
      <sz val="8"/>
      <color theme="1"/>
      <name val="Times New Roman"/>
      <family val="1"/>
      <charset val="161"/>
    </font>
    <font>
      <sz val="11"/>
      <color rgb="FF222222"/>
      <name val="Times New Roman"/>
      <family val="1"/>
      <charset val="161"/>
    </font>
    <font>
      <sz val="11"/>
      <color rgb="FF002060"/>
      <name val="Times New Roman"/>
      <family val="1"/>
      <charset val="161"/>
    </font>
    <font>
      <sz val="11"/>
      <color theme="0"/>
      <name val="Times New Roman"/>
      <family val="1"/>
      <charset val="161"/>
    </font>
    <font>
      <sz val="11"/>
      <color rgb="FFFF0000"/>
      <name val="Times New Roman"/>
      <family val="1"/>
      <charset val="161"/>
    </font>
    <font>
      <b/>
      <sz val="11"/>
      <color rgb="FFC00000"/>
      <name val="Times New Roman"/>
      <family val="1"/>
      <charset val="161"/>
    </font>
    <font>
      <b/>
      <sz val="11"/>
      <color rgb="FF00B050"/>
      <name val="Times New Roman"/>
      <family val="1"/>
      <charset val="161"/>
    </font>
    <font>
      <sz val="11"/>
      <color rgb="FF7030A0"/>
      <name val="Times New Roman"/>
      <family val="1"/>
      <charset val="161"/>
    </font>
    <font>
      <b/>
      <sz val="11"/>
      <color rgb="FF7030A0"/>
      <name val="Times New Roman"/>
      <family val="1"/>
      <charset val="161"/>
    </font>
    <font>
      <sz val="11"/>
      <color rgb="FF007635"/>
      <name val="Times New Roman"/>
      <family val="1"/>
      <charset val="161"/>
    </font>
    <font>
      <b/>
      <sz val="14"/>
      <color theme="1"/>
      <name val="Times New Roman"/>
      <family val="1"/>
      <charset val="161"/>
    </font>
    <font>
      <b/>
      <sz val="12"/>
      <color theme="1"/>
      <name val="Times New Roman"/>
      <family val="1"/>
      <charset val="161"/>
    </font>
    <font>
      <b/>
      <sz val="16"/>
      <color theme="1"/>
      <name val="Times New Roman"/>
      <family val="1"/>
      <charset val="161"/>
    </font>
    <font>
      <sz val="11"/>
      <color rgb="FF00B050"/>
      <name val="Times New Roman"/>
      <family val="1"/>
      <charset val="161"/>
    </font>
    <font>
      <b/>
      <sz val="9"/>
      <color indexed="81"/>
      <name val="Tahoma"/>
      <family val="2"/>
      <charset val="161"/>
    </font>
    <font>
      <sz val="9"/>
      <color indexed="81"/>
      <name val="Tahoma"/>
      <family val="2"/>
      <charset val="161"/>
    </font>
    <font>
      <b/>
      <sz val="11"/>
      <name val="Times New Roman"/>
      <family val="1"/>
      <charset val="161"/>
    </font>
    <font>
      <b/>
      <sz val="12"/>
      <name val="Times New Roman"/>
      <family val="1"/>
      <charset val="161"/>
    </font>
    <font>
      <b/>
      <sz val="16"/>
      <name val="Times New Roman"/>
      <family val="1"/>
      <charset val="161"/>
    </font>
    <font>
      <sz val="11"/>
      <color rgb="FFD50000"/>
      <name val="Times New Roman"/>
      <family val="1"/>
      <charset val="161"/>
    </font>
    <font>
      <b/>
      <sz val="8"/>
      <color indexed="81"/>
      <name val="Tahoma"/>
      <family val="2"/>
      <charset val="161"/>
    </font>
    <font>
      <sz val="8"/>
      <color indexed="81"/>
      <name val="Tahoma"/>
      <family val="2"/>
      <charset val="161"/>
    </font>
    <font>
      <b/>
      <sz val="11"/>
      <color rgb="FFFF0000"/>
      <name val="Times New Roman"/>
      <family val="1"/>
      <charset val="161"/>
    </font>
    <font>
      <sz val="11"/>
      <color theme="9" tint="-0.249977111117893"/>
      <name val="Times New Roman"/>
      <family val="1"/>
      <charset val="161"/>
    </font>
    <font>
      <sz val="11"/>
      <color rgb="FFFFFF00"/>
      <name val="Times New Roman"/>
      <family val="1"/>
      <charset val="161"/>
    </font>
    <font>
      <b/>
      <sz val="11"/>
      <color theme="5" tint="-0.249977111117893"/>
      <name val="Times New Roman"/>
      <family val="1"/>
      <charset val="161"/>
    </font>
    <font>
      <b/>
      <sz val="11"/>
      <color theme="0"/>
      <name val="Times New Roman"/>
      <family val="1"/>
      <charset val="161"/>
    </font>
    <font>
      <sz val="11"/>
      <color theme="9" tint="-0.249977111117893"/>
      <name val="Calibri"/>
      <family val="2"/>
      <charset val="161"/>
      <scheme val="minor"/>
    </font>
    <font>
      <sz val="11"/>
      <color rgb="FF24241A"/>
      <name val="Times New Roman"/>
      <family val="1"/>
      <charset val="161"/>
    </font>
    <font>
      <b/>
      <sz val="11"/>
      <color theme="9" tint="-0.249977111117893"/>
      <name val="Times New Roman"/>
      <family val="1"/>
      <charset val="161"/>
    </font>
    <font>
      <b/>
      <sz val="11"/>
      <color rgb="FFFFFF00"/>
      <name val="Times New Roman"/>
      <family val="1"/>
      <charset val="161"/>
    </font>
    <font>
      <b/>
      <sz val="11"/>
      <color rgb="FF24241A"/>
      <name val="Times New Roman"/>
      <family val="1"/>
      <charset val="161"/>
    </font>
    <font>
      <b/>
      <sz val="14"/>
      <color rgb="FFC00000"/>
      <name val="Times New Roman"/>
      <family val="1"/>
      <charset val="161"/>
    </font>
    <font>
      <b/>
      <sz val="12"/>
      <color rgb="FFC00000"/>
      <name val="Times New Roman"/>
      <family val="1"/>
      <charset val="161"/>
    </font>
    <font>
      <b/>
      <sz val="16"/>
      <color rgb="FFC00000"/>
      <name val="Times New Roman"/>
      <family val="1"/>
      <charset val="161"/>
    </font>
    <font>
      <sz val="11"/>
      <color rgb="FF0070C0"/>
      <name val="Times New Roman"/>
      <family val="1"/>
      <charset val="161"/>
    </font>
    <font>
      <sz val="11"/>
      <color rgb="FF000000"/>
      <name val="Times New Roman"/>
      <family val="1"/>
      <charset val="161"/>
    </font>
    <font>
      <sz val="11"/>
      <color rgb="FFFFFFFF"/>
      <name val="Times New Roman"/>
      <family val="1"/>
      <charset val="161"/>
    </font>
    <font>
      <b/>
      <sz val="11"/>
      <color rgb="FF000000"/>
      <name val="Times New Roman"/>
      <family val="1"/>
      <charset val="161"/>
    </font>
    <font>
      <b/>
      <sz val="14"/>
      <color rgb="FF000000"/>
      <name val="Times New Roman"/>
      <family val="1"/>
      <charset val="161"/>
    </font>
    <font>
      <b/>
      <sz val="12"/>
      <color rgb="FF000000"/>
      <name val="Times New Roman"/>
      <family val="1"/>
      <charset val="161"/>
    </font>
    <font>
      <b/>
      <sz val="16"/>
      <color rgb="FF000000"/>
      <name val="Times New Roman"/>
      <family val="1"/>
      <charset val="161"/>
    </font>
    <font>
      <sz val="11"/>
      <color rgb="FFE46D0A"/>
      <name val="Times New Roman"/>
      <family val="1"/>
      <charset val="161"/>
    </font>
    <font>
      <sz val="11"/>
      <color theme="3" tint="0.39997558519241921"/>
      <name val="Times New Roman"/>
      <family val="1"/>
      <charset val="161"/>
    </font>
    <font>
      <b/>
      <sz val="16"/>
      <color rgb="FFFFC000"/>
      <name val="Times New Roman"/>
      <family val="1"/>
      <charset val="161"/>
    </font>
    <font>
      <sz val="11"/>
      <color rgb="FFFFC000"/>
      <name val="Times New Roman"/>
      <family val="1"/>
      <charset val="161"/>
    </font>
    <font>
      <sz val="11"/>
      <color rgb="FF00B0F0"/>
      <name val="Times New Roman"/>
      <family val="1"/>
      <charset val="161"/>
    </font>
    <font>
      <b/>
      <sz val="16"/>
      <color theme="9" tint="-0.249977111117893"/>
      <name val="Times New Roman"/>
      <family val="1"/>
      <charset val="161"/>
    </font>
    <font>
      <b/>
      <sz val="11"/>
      <color rgb="FFFFC000"/>
      <name val="Times New Roman"/>
      <family val="1"/>
      <charset val="161"/>
    </font>
    <font>
      <b/>
      <sz val="9"/>
      <color indexed="13"/>
      <name val="Tahoma"/>
      <family val="2"/>
      <charset val="161"/>
    </font>
    <font>
      <sz val="9"/>
      <color indexed="13"/>
      <name val="Tahoma"/>
      <family val="2"/>
      <charset val="161"/>
    </font>
    <font>
      <sz val="9"/>
      <color indexed="10"/>
      <name val="Tahoma"/>
      <family val="2"/>
      <charset val="161"/>
    </font>
    <font>
      <sz val="9"/>
      <color indexed="34"/>
      <name val="Tahoma"/>
      <family val="2"/>
      <charset val="161"/>
    </font>
    <font>
      <b/>
      <sz val="9"/>
      <color indexed="10"/>
      <name val="Tahoma"/>
      <family val="2"/>
      <charset val="161"/>
    </font>
    <font>
      <b/>
      <sz val="11"/>
      <color rgb="FF00B0F0"/>
      <name val="Times New Roman"/>
      <family val="1"/>
      <charset val="161"/>
    </font>
    <font>
      <b/>
      <sz val="12"/>
      <color rgb="FFFF0000"/>
      <name val="Times New Roman"/>
      <family val="1"/>
      <charset val="161"/>
    </font>
    <font>
      <b/>
      <sz val="14"/>
      <color rgb="FFFF0000"/>
      <name val="Times New Roman"/>
      <family val="1"/>
      <charset val="161"/>
    </font>
    <font>
      <b/>
      <sz val="11"/>
      <color rgb="FF0070C0"/>
      <name val="Times New Roman"/>
      <family val="1"/>
      <charset val="161"/>
    </font>
    <font>
      <b/>
      <sz val="14"/>
      <color rgb="FFFFC000"/>
      <name val="Times New Roman"/>
      <family val="1"/>
      <charset val="161"/>
    </font>
    <font>
      <b/>
      <sz val="11"/>
      <color rgb="FF002060"/>
      <name val="Times New Roman"/>
      <family val="1"/>
      <charset val="161"/>
    </font>
    <font>
      <sz val="11"/>
      <color rgb="FF005EA4"/>
      <name val="Times New Roman"/>
      <family val="1"/>
      <charset val="161"/>
    </font>
    <font>
      <sz val="11"/>
      <color rgb="FFFF0000"/>
      <name val="Calibri"/>
      <family val="2"/>
      <charset val="161"/>
      <scheme val="minor"/>
    </font>
    <font>
      <b/>
      <sz val="11"/>
      <color indexed="81"/>
      <name val="Times New Roman"/>
      <family val="1"/>
      <charset val="161"/>
    </font>
    <font>
      <sz val="11"/>
      <color indexed="81"/>
      <name val="Times New Roman"/>
      <family val="1"/>
      <charset val="161"/>
    </font>
    <font>
      <b/>
      <sz val="12"/>
      <color indexed="81"/>
      <name val="Times New Roman"/>
      <family val="1"/>
      <charset val="161"/>
    </font>
    <font>
      <sz val="12"/>
      <color indexed="81"/>
      <name val="Times New Roman"/>
      <family val="1"/>
      <charset val="161"/>
    </font>
    <font>
      <sz val="9"/>
      <color indexed="81"/>
      <name val="Times New Roman"/>
      <family val="1"/>
      <charset val="161"/>
    </font>
    <font>
      <sz val="11"/>
      <color indexed="10"/>
      <name val="Tahoma"/>
      <family val="2"/>
      <charset val="161"/>
    </font>
    <font>
      <b/>
      <sz val="11"/>
      <color indexed="10"/>
      <name val="Tahoma"/>
      <family val="2"/>
      <charset val="161"/>
    </font>
    <font>
      <sz val="11"/>
      <color indexed="10"/>
      <name val="Times New Roman"/>
      <family val="1"/>
      <charset val="161"/>
    </font>
    <font>
      <b/>
      <sz val="11"/>
      <color indexed="10"/>
      <name val="Times New Roman"/>
      <family val="1"/>
      <charset val="161"/>
    </font>
  </fonts>
  <fills count="35">
    <fill>
      <patternFill patternType="none"/>
    </fill>
    <fill>
      <patternFill patternType="gray125"/>
    </fill>
    <fill>
      <patternFill patternType="solid">
        <fgColor theme="2" tint="-0.2499465926084170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2" tint="-0.74996185186315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B17ED8"/>
        <bgColor indexed="64"/>
      </patternFill>
    </fill>
    <fill>
      <patternFill patternType="solid">
        <fgColor rgb="FFB07BD7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89996032593768116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0F253F"/>
        <bgColor indexed="64"/>
      </patternFill>
    </fill>
    <fill>
      <patternFill patternType="solid">
        <fgColor rgb="FF0F2501"/>
        <bgColor indexed="64"/>
      </patternFill>
    </fill>
    <fill>
      <patternFill patternType="solid">
        <fgColor rgb="FF0F243F"/>
        <bgColor indexed="64"/>
      </patternFill>
    </fill>
    <fill>
      <patternFill patternType="solid">
        <fgColor theme="2" tint="-0.499984740745262"/>
        <bgColor indexed="64"/>
      </patternFill>
    </fill>
  </fills>
  <borders count="4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/>
      <diagonal/>
    </border>
    <border>
      <left/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/>
      <top/>
      <bottom/>
      <diagonal/>
    </border>
    <border>
      <left/>
      <right style="thin">
        <color rgb="FFC00000"/>
      </right>
      <top/>
      <bottom/>
      <diagonal/>
    </border>
    <border>
      <left style="thin">
        <color rgb="FFC00000"/>
      </left>
      <right/>
      <top/>
      <bottom style="thin">
        <color rgb="FFC00000"/>
      </bottom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 style="thin">
        <color rgb="FFC00000"/>
      </left>
      <right/>
      <top style="thin">
        <color rgb="FFC00000"/>
      </top>
      <bottom style="thin">
        <color auto="1"/>
      </bottom>
      <diagonal/>
    </border>
    <border>
      <left style="thin">
        <color rgb="FFC00000"/>
      </left>
      <right/>
      <top style="thin">
        <color auto="1"/>
      </top>
      <bottom style="thin">
        <color rgb="FFC00000"/>
      </bottom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rgb="FFFFC000"/>
      </left>
      <right style="thin">
        <color rgb="FFFFC000"/>
      </right>
      <top style="thin">
        <color rgb="FFFFC000"/>
      </top>
      <bottom style="thin">
        <color rgb="FFFFC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FF00"/>
      </left>
      <right style="thin">
        <color rgb="FFFFFF00"/>
      </right>
      <top style="thin">
        <color rgb="FFFFFF00"/>
      </top>
      <bottom style="thin">
        <color rgb="FFFFFF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/>
      <diagonal/>
    </border>
    <border>
      <left style="thin">
        <color theme="9" tint="-0.24994659260841701"/>
      </left>
      <right/>
      <top/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/>
      <diagonal/>
    </border>
    <border>
      <left/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9" tint="-0.24994659260841701"/>
      </left>
      <right style="thin">
        <color theme="9" tint="-0.24994659260841701"/>
      </right>
      <top/>
      <bottom style="thin">
        <color theme="9" tint="-0.24994659260841701"/>
      </bottom>
      <diagonal/>
    </border>
    <border>
      <left style="thin">
        <color theme="9" tint="-0.24994659260841701"/>
      </left>
      <right/>
      <top/>
      <bottom style="thin">
        <color theme="9" tint="-0.24994659260841701"/>
      </bottom>
      <diagonal/>
    </border>
    <border>
      <left style="thin">
        <color auto="1"/>
      </left>
      <right style="thin">
        <color rgb="FFC00000"/>
      </right>
      <top style="thin">
        <color rgb="FFC00000"/>
      </top>
      <bottom style="thin">
        <color auto="1"/>
      </bottom>
      <diagonal/>
    </border>
    <border>
      <left style="thin">
        <color auto="1"/>
      </left>
      <right style="thin">
        <color theme="9" tint="-0.24994659260841701"/>
      </right>
      <top/>
      <bottom style="thin">
        <color auto="1"/>
      </bottom>
      <diagonal/>
    </border>
    <border>
      <left style="thin">
        <color theme="9" tint="-0.24994659260841701"/>
      </left>
      <right/>
      <top/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619">
    <xf numFmtId="0" fontId="0" fillId="0" borderId="0" xfId="0"/>
    <xf numFmtId="0" fontId="1" fillId="0" borderId="0" xfId="0" applyFont="1"/>
    <xf numFmtId="0" fontId="0" fillId="2" borderId="0" xfId="0" applyFill="1"/>
    <xf numFmtId="0" fontId="1" fillId="3" borderId="0" xfId="0" applyFont="1" applyFill="1"/>
    <xf numFmtId="0" fontId="1" fillId="2" borderId="0" xfId="0" applyFont="1" applyFill="1" applyBorder="1"/>
    <xf numFmtId="0" fontId="1" fillId="3" borderId="0" xfId="0" applyFont="1" applyFill="1" applyBorder="1"/>
    <xf numFmtId="0" fontId="1" fillId="0" borderId="0" xfId="0" applyFont="1" applyFill="1" applyBorder="1"/>
    <xf numFmtId="0" fontId="0" fillId="3" borderId="0" xfId="0" applyFill="1"/>
    <xf numFmtId="0" fontId="1" fillId="4" borderId="1" xfId="0" applyFont="1" applyFill="1" applyBorder="1"/>
    <xf numFmtId="0" fontId="1" fillId="5" borderId="4" xfId="0" applyFont="1" applyFill="1" applyBorder="1"/>
    <xf numFmtId="0" fontId="1" fillId="5" borderId="5" xfId="0" applyFont="1" applyFill="1" applyBorder="1"/>
    <xf numFmtId="0" fontId="3" fillId="5" borderId="6" xfId="0" applyFont="1" applyFill="1" applyBorder="1"/>
    <xf numFmtId="0" fontId="1" fillId="6" borderId="4" xfId="0" applyFont="1" applyFill="1" applyBorder="1"/>
    <xf numFmtId="0" fontId="3" fillId="6" borderId="7" xfId="0" applyFont="1" applyFill="1" applyBorder="1"/>
    <xf numFmtId="0" fontId="1" fillId="6" borderId="6" xfId="0" applyFont="1" applyFill="1" applyBorder="1"/>
    <xf numFmtId="0" fontId="1" fillId="7" borderId="8" xfId="0" applyFont="1" applyFill="1" applyBorder="1"/>
    <xf numFmtId="0" fontId="1" fillId="7" borderId="9" xfId="0" applyFont="1" applyFill="1" applyBorder="1"/>
    <xf numFmtId="0" fontId="1" fillId="3" borderId="9" xfId="0" applyFont="1" applyFill="1" applyBorder="1"/>
    <xf numFmtId="0" fontId="1" fillId="4" borderId="10" xfId="0" applyFont="1" applyFill="1" applyBorder="1"/>
    <xf numFmtId="0" fontId="1" fillId="5" borderId="11" xfId="0" applyFont="1" applyFill="1" applyBorder="1"/>
    <xf numFmtId="0" fontId="1" fillId="6" borderId="11" xfId="0" applyFont="1" applyFill="1" applyBorder="1"/>
    <xf numFmtId="0" fontId="1" fillId="8" borderId="8" xfId="0" applyFont="1" applyFill="1" applyBorder="1"/>
    <xf numFmtId="0" fontId="1" fillId="0" borderId="8" xfId="0" applyFont="1" applyFill="1" applyBorder="1"/>
    <xf numFmtId="0" fontId="1" fillId="0" borderId="9" xfId="0" applyFont="1" applyFill="1" applyBorder="1"/>
    <xf numFmtId="0" fontId="1" fillId="9" borderId="8" xfId="0" applyFont="1" applyFill="1" applyBorder="1"/>
    <xf numFmtId="0" fontId="4" fillId="0" borderId="8" xfId="0" applyFont="1" applyBorder="1"/>
    <xf numFmtId="164" fontId="4" fillId="0" borderId="8" xfId="1" applyNumberFormat="1" applyFont="1" applyBorder="1"/>
    <xf numFmtId="0" fontId="1" fillId="9" borderId="9" xfId="0" applyFont="1" applyFill="1" applyBorder="1"/>
    <xf numFmtId="0" fontId="1" fillId="10" borderId="8" xfId="0" applyFont="1" applyFill="1" applyBorder="1"/>
    <xf numFmtId="0" fontId="1" fillId="10" borderId="9" xfId="0" applyFont="1" applyFill="1" applyBorder="1"/>
    <xf numFmtId="0" fontId="0" fillId="0" borderId="8" xfId="0" applyFill="1" applyBorder="1"/>
    <xf numFmtId="0" fontId="0" fillId="0" borderId="9" xfId="0" applyFill="1" applyBorder="1"/>
    <xf numFmtId="0" fontId="5" fillId="11" borderId="8" xfId="0" applyFont="1" applyFill="1" applyBorder="1"/>
    <xf numFmtId="0" fontId="6" fillId="11" borderId="8" xfId="0" applyFont="1" applyFill="1" applyBorder="1"/>
    <xf numFmtId="0" fontId="5" fillId="0" borderId="8" xfId="0" applyFont="1" applyFill="1" applyBorder="1"/>
    <xf numFmtId="0" fontId="7" fillId="0" borderId="8" xfId="0" applyFont="1" applyFill="1" applyBorder="1"/>
    <xf numFmtId="0" fontId="0" fillId="9" borderId="8" xfId="0" applyFill="1" applyBorder="1"/>
    <xf numFmtId="0" fontId="1" fillId="0" borderId="8" xfId="0" applyFont="1" applyBorder="1"/>
    <xf numFmtId="0" fontId="1" fillId="0" borderId="9" xfId="0" applyFont="1" applyBorder="1"/>
    <xf numFmtId="0" fontId="10" fillId="12" borderId="8" xfId="0" applyFont="1" applyFill="1" applyBorder="1"/>
    <xf numFmtId="0" fontId="10" fillId="0" borderId="8" xfId="0" applyFont="1" applyFill="1" applyBorder="1"/>
    <xf numFmtId="0" fontId="0" fillId="0" borderId="8" xfId="0" applyFont="1" applyFill="1" applyBorder="1"/>
    <xf numFmtId="0" fontId="1" fillId="13" borderId="8" xfId="0" applyFont="1" applyFill="1" applyBorder="1"/>
    <xf numFmtId="0" fontId="1" fillId="13" borderId="9" xfId="0" applyFont="1" applyFill="1" applyBorder="1"/>
    <xf numFmtId="0" fontId="1" fillId="14" borderId="8" xfId="0" applyFont="1" applyFill="1" applyBorder="1"/>
    <xf numFmtId="0" fontId="1" fillId="14" borderId="9" xfId="0" applyFont="1" applyFill="1" applyBorder="1"/>
    <xf numFmtId="0" fontId="1" fillId="15" borderId="8" xfId="0" applyFont="1" applyFill="1" applyBorder="1"/>
    <xf numFmtId="0" fontId="1" fillId="15" borderId="9" xfId="0" applyFont="1" applyFill="1" applyBorder="1"/>
    <xf numFmtId="0" fontId="1" fillId="2" borderId="0" xfId="0" applyFont="1" applyFill="1"/>
    <xf numFmtId="0" fontId="11" fillId="3" borderId="0" xfId="0" applyFont="1" applyFill="1" applyBorder="1"/>
    <xf numFmtId="0" fontId="1" fillId="3" borderId="7" xfId="0" applyFont="1" applyFill="1" applyBorder="1"/>
    <xf numFmtId="0" fontId="11" fillId="3" borderId="7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0" fontId="1" fillId="3" borderId="12" xfId="0" applyFont="1" applyFill="1" applyBorder="1"/>
    <xf numFmtId="0" fontId="21" fillId="3" borderId="14" xfId="0" applyFont="1" applyFill="1" applyBorder="1"/>
    <xf numFmtId="0" fontId="1" fillId="3" borderId="14" xfId="0" applyFont="1" applyFill="1" applyBorder="1"/>
    <xf numFmtId="0" fontId="1" fillId="0" borderId="7" xfId="0" applyFont="1" applyFill="1" applyBorder="1"/>
    <xf numFmtId="0" fontId="21" fillId="3" borderId="10" xfId="0" applyFont="1" applyFill="1" applyBorder="1"/>
    <xf numFmtId="0" fontId="21" fillId="3" borderId="2" xfId="0" applyFont="1" applyFill="1" applyBorder="1"/>
    <xf numFmtId="0" fontId="21" fillId="3" borderId="1" xfId="0" applyFont="1" applyFill="1" applyBorder="1"/>
    <xf numFmtId="0" fontId="11" fillId="3" borderId="14" xfId="0" applyFont="1" applyFill="1" applyBorder="1"/>
    <xf numFmtId="0" fontId="1" fillId="3" borderId="13" xfId="0" applyFont="1" applyFill="1" applyBorder="1"/>
    <xf numFmtId="0" fontId="1" fillId="3" borderId="11" xfId="0" applyFont="1" applyFill="1" applyBorder="1"/>
    <xf numFmtId="0" fontId="7" fillId="0" borderId="7" xfId="0" applyFont="1" applyFill="1" applyBorder="1"/>
    <xf numFmtId="0" fontId="1" fillId="0" borderId="7" xfId="0" applyFont="1" applyBorder="1"/>
    <xf numFmtId="0" fontId="7" fillId="0" borderId="15" xfId="0" applyFont="1" applyFill="1" applyBorder="1"/>
    <xf numFmtId="0" fontId="7" fillId="0" borderId="3" xfId="0" applyFont="1" applyFill="1" applyBorder="1"/>
    <xf numFmtId="0" fontId="11" fillId="3" borderId="4" xfId="0" applyFont="1" applyFill="1" applyBorder="1"/>
    <xf numFmtId="0" fontId="1" fillId="0" borderId="15" xfId="0" applyFont="1" applyBorder="1"/>
    <xf numFmtId="0" fontId="7" fillId="0" borderId="13" xfId="0" applyFont="1" applyFill="1" applyBorder="1"/>
    <xf numFmtId="0" fontId="24" fillId="0" borderId="10" xfId="0" applyFont="1" applyFill="1" applyBorder="1"/>
    <xf numFmtId="0" fontId="7" fillId="0" borderId="10" xfId="0" applyFont="1" applyFill="1" applyBorder="1"/>
    <xf numFmtId="0" fontId="7" fillId="0" borderId="0" xfId="0" applyFont="1" applyFill="1" applyBorder="1"/>
    <xf numFmtId="0" fontId="24" fillId="0" borderId="13" xfId="0" applyFont="1" applyFill="1" applyBorder="1"/>
    <xf numFmtId="0" fontId="11" fillId="3" borderId="6" xfId="0" applyFont="1" applyFill="1" applyBorder="1"/>
    <xf numFmtId="0" fontId="24" fillId="0" borderId="6" xfId="0" applyFont="1" applyFill="1" applyBorder="1"/>
    <xf numFmtId="0" fontId="7" fillId="0" borderId="1" xfId="0" applyFont="1" applyFill="1" applyBorder="1"/>
    <xf numFmtId="0" fontId="24" fillId="0" borderId="15" xfId="0" applyFont="1" applyFill="1" applyBorder="1"/>
    <xf numFmtId="0" fontId="7" fillId="0" borderId="5" xfId="0" applyFont="1" applyFill="1" applyBorder="1"/>
    <xf numFmtId="0" fontId="1" fillId="0" borderId="13" xfId="0" applyFont="1" applyBorder="1"/>
    <xf numFmtId="2" fontId="7" fillId="0" borderId="10" xfId="0" applyNumberFormat="1" applyFont="1" applyFill="1" applyBorder="1"/>
    <xf numFmtId="0" fontId="25" fillId="0" borderId="13" xfId="0" applyFont="1" applyFill="1" applyBorder="1"/>
    <xf numFmtId="0" fontId="1" fillId="0" borderId="4" xfId="0" applyFont="1" applyBorder="1"/>
    <xf numFmtId="2" fontId="26" fillId="0" borderId="9" xfId="0" applyNumberFormat="1" applyFont="1" applyFill="1" applyBorder="1"/>
    <xf numFmtId="0" fontId="7" fillId="0" borderId="11" xfId="0" applyFont="1" applyFill="1" applyBorder="1"/>
    <xf numFmtId="0" fontId="24" fillId="0" borderId="3" xfId="0" applyFont="1" applyFill="1" applyBorder="1"/>
    <xf numFmtId="0" fontId="24" fillId="0" borderId="1" xfId="0" applyFont="1" applyFill="1" applyBorder="1"/>
    <xf numFmtId="0" fontId="1" fillId="0" borderId="14" xfId="0" applyFont="1" applyBorder="1"/>
    <xf numFmtId="0" fontId="25" fillId="0" borderId="3" xfId="0" applyFont="1" applyFill="1" applyBorder="1"/>
    <xf numFmtId="0" fontId="7" fillId="0" borderId="2" xfId="0" applyFont="1" applyFill="1" applyBorder="1"/>
    <xf numFmtId="0" fontId="7" fillId="0" borderId="12" xfId="0" applyFont="1" applyFill="1" applyBorder="1"/>
    <xf numFmtId="0" fontId="7" fillId="0" borderId="9" xfId="0" applyFont="1" applyFill="1" applyBorder="1"/>
    <xf numFmtId="0" fontId="27" fillId="0" borderId="13" xfId="0" applyFont="1" applyFill="1" applyBorder="1"/>
    <xf numFmtId="0" fontId="1" fillId="16" borderId="0" xfId="0" applyFont="1" applyFill="1"/>
    <xf numFmtId="0" fontId="1" fillId="0" borderId="10" xfId="0" applyFont="1" applyBorder="1"/>
    <xf numFmtId="0" fontId="1" fillId="17" borderId="0" xfId="0" applyFont="1" applyFill="1" applyBorder="1"/>
    <xf numFmtId="0" fontId="1" fillId="17" borderId="0" xfId="0" applyFont="1" applyFill="1"/>
    <xf numFmtId="0" fontId="0" fillId="17" borderId="0" xfId="0" applyFill="1"/>
    <xf numFmtId="0" fontId="11" fillId="17" borderId="0" xfId="0" applyFont="1" applyFill="1"/>
    <xf numFmtId="0" fontId="3" fillId="16" borderId="12" xfId="0" applyFont="1" applyFill="1" applyBorder="1"/>
    <xf numFmtId="0" fontId="30" fillId="16" borderId="0" xfId="0" applyFont="1" applyFill="1" applyBorder="1"/>
    <xf numFmtId="0" fontId="1" fillId="16" borderId="12" xfId="0" applyFont="1" applyFill="1" applyBorder="1"/>
    <xf numFmtId="0" fontId="1" fillId="0" borderId="6" xfId="0" applyFont="1" applyBorder="1"/>
    <xf numFmtId="0" fontId="3" fillId="16" borderId="0" xfId="0" applyFont="1" applyFill="1"/>
    <xf numFmtId="0" fontId="12" fillId="16" borderId="0" xfId="0" applyFont="1" applyFill="1"/>
    <xf numFmtId="0" fontId="1" fillId="18" borderId="0" xfId="0" applyFont="1" applyFill="1"/>
    <xf numFmtId="0" fontId="1" fillId="0" borderId="11" xfId="0" applyFont="1" applyBorder="1"/>
    <xf numFmtId="0" fontId="3" fillId="0" borderId="0" xfId="0" applyFont="1"/>
    <xf numFmtId="0" fontId="1" fillId="6" borderId="7" xfId="0" applyFont="1" applyFill="1" applyBorder="1"/>
    <xf numFmtId="0" fontId="12" fillId="0" borderId="8" xfId="0" applyFont="1" applyBorder="1"/>
    <xf numFmtId="0" fontId="31" fillId="0" borderId="15" xfId="0" applyFont="1" applyBorder="1"/>
    <xf numFmtId="0" fontId="31" fillId="0" borderId="8" xfId="0" applyFont="1" applyBorder="1"/>
    <xf numFmtId="0" fontId="12" fillId="2" borderId="1" xfId="0" applyFont="1" applyFill="1" applyBorder="1"/>
    <xf numFmtId="0" fontId="1" fillId="2" borderId="3" xfId="0" applyFont="1" applyFill="1" applyBorder="1"/>
    <xf numFmtId="0" fontId="1" fillId="2" borderId="9" xfId="0" applyFont="1" applyFill="1" applyBorder="1"/>
    <xf numFmtId="0" fontId="1" fillId="2" borderId="12" xfId="0" applyFont="1" applyFill="1" applyBorder="1"/>
    <xf numFmtId="0" fontId="1" fillId="20" borderId="0" xfId="0" applyFont="1" applyFill="1" applyBorder="1"/>
    <xf numFmtId="0" fontId="1" fillId="8" borderId="7" xfId="0" applyFont="1" applyFill="1" applyBorder="1"/>
    <xf numFmtId="0" fontId="1" fillId="8" borderId="0" xfId="0" applyFont="1" applyFill="1" applyBorder="1"/>
    <xf numFmtId="0" fontId="3" fillId="8" borderId="0" xfId="0" applyFont="1" applyFill="1"/>
    <xf numFmtId="0" fontId="3" fillId="2" borderId="0" xfId="0" applyFont="1" applyFill="1" applyBorder="1"/>
    <xf numFmtId="0" fontId="1" fillId="7" borderId="0" xfId="0" applyFont="1" applyFill="1" applyBorder="1"/>
    <xf numFmtId="0" fontId="1" fillId="7" borderId="0" xfId="0" applyFont="1" applyFill="1"/>
    <xf numFmtId="0" fontId="0" fillId="7" borderId="0" xfId="0" applyFill="1"/>
    <xf numFmtId="0" fontId="1" fillId="0" borderId="2" xfId="0" applyFont="1" applyBorder="1"/>
    <xf numFmtId="0" fontId="1" fillId="0" borderId="3" xfId="0" applyFont="1" applyBorder="1"/>
    <xf numFmtId="0" fontId="1" fillId="0" borderId="12" xfId="0" applyFont="1" applyBorder="1"/>
    <xf numFmtId="0" fontId="1" fillId="0" borderId="0" xfId="0" applyFont="1" applyBorder="1"/>
    <xf numFmtId="0" fontId="1" fillId="18" borderId="0" xfId="0" applyFont="1" applyFill="1" applyBorder="1"/>
    <xf numFmtId="0" fontId="12" fillId="0" borderId="9" xfId="0" applyFont="1" applyBorder="1"/>
    <xf numFmtId="0" fontId="12" fillId="0" borderId="0" xfId="0" applyFont="1" applyFill="1" applyBorder="1"/>
    <xf numFmtId="0" fontId="12" fillId="0" borderId="0" xfId="0" applyFont="1" applyBorder="1"/>
    <xf numFmtId="0" fontId="3" fillId="0" borderId="9" xfId="0" applyFont="1" applyBorder="1"/>
    <xf numFmtId="0" fontId="21" fillId="0" borderId="9" xfId="0" applyFont="1" applyBorder="1"/>
    <xf numFmtId="0" fontId="1" fillId="8" borderId="0" xfId="0" applyFont="1" applyFill="1"/>
    <xf numFmtId="0" fontId="1" fillId="5" borderId="0" xfId="0" applyFont="1" applyFill="1" applyBorder="1"/>
    <xf numFmtId="0" fontId="1" fillId="13" borderId="0" xfId="0" applyFont="1" applyFill="1" applyBorder="1"/>
    <xf numFmtId="0" fontId="1" fillId="13" borderId="0" xfId="0" applyFont="1" applyFill="1"/>
    <xf numFmtId="0" fontId="0" fillId="13" borderId="0" xfId="0" applyFill="1"/>
    <xf numFmtId="0" fontId="1" fillId="0" borderId="1" xfId="0" applyFont="1" applyBorder="1"/>
    <xf numFmtId="0" fontId="1" fillId="18" borderId="7" xfId="0" applyFont="1" applyFill="1" applyBorder="1"/>
    <xf numFmtId="0" fontId="1" fillId="0" borderId="12" xfId="0" applyFont="1" applyFill="1" applyBorder="1"/>
    <xf numFmtId="0" fontId="1" fillId="8" borderId="12" xfId="0" applyFont="1" applyFill="1" applyBorder="1"/>
    <xf numFmtId="0" fontId="1" fillId="2" borderId="7" xfId="0" applyFont="1" applyFill="1" applyBorder="1"/>
    <xf numFmtId="0" fontId="3" fillId="0" borderId="0" xfId="0" applyFont="1" applyFill="1" applyBorder="1"/>
    <xf numFmtId="0" fontId="24" fillId="20" borderId="0" xfId="0" applyFont="1" applyFill="1" applyBorder="1"/>
    <xf numFmtId="0" fontId="3" fillId="8" borderId="0" xfId="0" applyFont="1" applyFill="1" applyBorder="1"/>
    <xf numFmtId="0" fontId="33" fillId="0" borderId="0" xfId="0" applyFont="1" applyFill="1" applyBorder="1"/>
    <xf numFmtId="0" fontId="16" fillId="0" borderId="0" xfId="0" applyFont="1" applyFill="1" applyBorder="1"/>
    <xf numFmtId="0" fontId="24" fillId="0" borderId="0" xfId="0" applyFont="1" applyFill="1" applyBorder="1"/>
    <xf numFmtId="0" fontId="1" fillId="9" borderId="0" xfId="0" applyFont="1" applyFill="1" applyBorder="1"/>
    <xf numFmtId="0" fontId="31" fillId="4" borderId="2" xfId="0" applyFont="1" applyFill="1" applyBorder="1"/>
    <xf numFmtId="0" fontId="31" fillId="4" borderId="3" xfId="0" applyFont="1" applyFill="1" applyBorder="1"/>
    <xf numFmtId="0" fontId="31" fillId="4" borderId="11" xfId="0" applyFont="1" applyFill="1" applyBorder="1"/>
    <xf numFmtId="0" fontId="31" fillId="8" borderId="8" xfId="0" applyFont="1" applyFill="1" applyBorder="1"/>
    <xf numFmtId="0" fontId="31" fillId="0" borderId="8" xfId="0" applyFont="1" applyFill="1" applyBorder="1"/>
    <xf numFmtId="0" fontId="31" fillId="9" borderId="8" xfId="0" applyFont="1" applyFill="1" applyBorder="1"/>
    <xf numFmtId="0" fontId="31" fillId="10" borderId="8" xfId="0" applyFont="1" applyFill="1" applyBorder="1"/>
    <xf numFmtId="0" fontId="35" fillId="0" borderId="8" xfId="0" applyFont="1" applyFill="1" applyBorder="1"/>
    <xf numFmtId="0" fontId="31" fillId="11" borderId="8" xfId="0" applyFont="1" applyFill="1" applyBorder="1"/>
    <xf numFmtId="0" fontId="35" fillId="9" borderId="8" xfId="0" applyFont="1" applyFill="1" applyBorder="1"/>
    <xf numFmtId="0" fontId="31" fillId="12" borderId="8" xfId="0" applyFont="1" applyFill="1" applyBorder="1"/>
    <xf numFmtId="0" fontId="31" fillId="15" borderId="8" xfId="0" applyFont="1" applyFill="1" applyBorder="1"/>
    <xf numFmtId="0" fontId="7" fillId="13" borderId="8" xfId="0" applyFont="1" applyFill="1" applyBorder="1"/>
    <xf numFmtId="0" fontId="7" fillId="14" borderId="8" xfId="0" applyFont="1" applyFill="1" applyBorder="1"/>
    <xf numFmtId="0" fontId="1" fillId="5" borderId="0" xfId="0" applyFont="1" applyFill="1"/>
    <xf numFmtId="0" fontId="0" fillId="5" borderId="0" xfId="0" applyFill="1"/>
    <xf numFmtId="0" fontId="3" fillId="0" borderId="0" xfId="0" applyFont="1" applyBorder="1"/>
    <xf numFmtId="0" fontId="1" fillId="21" borderId="0" xfId="0" applyFont="1" applyFill="1" applyBorder="1"/>
    <xf numFmtId="0" fontId="1" fillId="21" borderId="0" xfId="0" applyFont="1" applyFill="1"/>
    <xf numFmtId="0" fontId="0" fillId="21" borderId="0" xfId="0" applyFill="1"/>
    <xf numFmtId="0" fontId="16" fillId="0" borderId="0" xfId="0" applyFont="1"/>
    <xf numFmtId="0" fontId="1" fillId="22" borderId="0" xfId="0" applyFont="1" applyFill="1"/>
    <xf numFmtId="0" fontId="1" fillId="23" borderId="0" xfId="0" applyFont="1" applyFill="1"/>
    <xf numFmtId="0" fontId="1" fillId="0" borderId="0" xfId="0" applyFont="1" applyFill="1"/>
    <xf numFmtId="0" fontId="1" fillId="15" borderId="7" xfId="0" applyFont="1" applyFill="1" applyBorder="1"/>
    <xf numFmtId="0" fontId="37" fillId="0" borderId="0" xfId="0" applyFont="1"/>
    <xf numFmtId="0" fontId="1" fillId="24" borderId="0" xfId="0" applyFont="1" applyFill="1"/>
    <xf numFmtId="0" fontId="33" fillId="0" borderId="0" xfId="0" applyFont="1"/>
    <xf numFmtId="0" fontId="1" fillId="5" borderId="7" xfId="0" applyFont="1" applyFill="1" applyBorder="1"/>
    <xf numFmtId="0" fontId="1" fillId="15" borderId="0" xfId="0" applyFont="1" applyFill="1" applyBorder="1"/>
    <xf numFmtId="0" fontId="1" fillId="15" borderId="0" xfId="0" applyFont="1" applyFill="1"/>
    <xf numFmtId="0" fontId="11" fillId="15" borderId="0" xfId="0" applyFont="1" applyFill="1"/>
    <xf numFmtId="0" fontId="0" fillId="15" borderId="0" xfId="0" applyFill="1"/>
    <xf numFmtId="0" fontId="11" fillId="15" borderId="0" xfId="0" applyFont="1" applyFill="1" applyBorder="1"/>
    <xf numFmtId="0" fontId="32" fillId="15" borderId="0" xfId="0" applyFont="1" applyFill="1"/>
    <xf numFmtId="0" fontId="1" fillId="11" borderId="7" xfId="0" applyFont="1" applyFill="1" applyBorder="1"/>
    <xf numFmtId="0" fontId="3" fillId="0" borderId="2" xfId="0" applyFont="1" applyBorder="1"/>
    <xf numFmtId="0" fontId="30" fillId="4" borderId="14" xfId="0" applyFont="1" applyFill="1" applyBorder="1"/>
    <xf numFmtId="0" fontId="1" fillId="9" borderId="7" xfId="0" applyFont="1" applyFill="1" applyBorder="1"/>
    <xf numFmtId="0" fontId="14" fillId="0" borderId="0" xfId="0" applyFont="1"/>
    <xf numFmtId="0" fontId="1" fillId="8" borderId="4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1" fillId="10" borderId="7" xfId="0" applyFont="1" applyFill="1" applyBorder="1"/>
    <xf numFmtId="0" fontId="24" fillId="0" borderId="0" xfId="0" applyFont="1" applyBorder="1"/>
    <xf numFmtId="0" fontId="5" fillId="0" borderId="0" xfId="0" applyFont="1" applyBorder="1"/>
    <xf numFmtId="0" fontId="14" fillId="0" borderId="0" xfId="0" applyFont="1" applyFill="1" applyBorder="1"/>
    <xf numFmtId="0" fontId="12" fillId="7" borderId="7" xfId="0" applyFont="1" applyFill="1" applyBorder="1"/>
    <xf numFmtId="0" fontId="12" fillId="0" borderId="0" xfId="0" applyFont="1"/>
    <xf numFmtId="0" fontId="3" fillId="13" borderId="1" xfId="0" applyFont="1" applyFill="1" applyBorder="1"/>
    <xf numFmtId="0" fontId="11" fillId="0" borderId="0" xfId="0" applyFont="1" applyFill="1"/>
    <xf numFmtId="0" fontId="1" fillId="19" borderId="0" xfId="0" applyFont="1" applyFill="1" applyBorder="1"/>
    <xf numFmtId="0" fontId="38" fillId="20" borderId="0" xfId="0" applyFont="1" applyFill="1"/>
    <xf numFmtId="0" fontId="1" fillId="20" borderId="0" xfId="0" applyFont="1" applyFill="1"/>
    <xf numFmtId="0" fontId="3" fillId="0" borderId="1" xfId="0" applyFont="1" applyBorder="1"/>
    <xf numFmtId="0" fontId="1" fillId="6" borderId="0" xfId="0" applyFont="1" applyFill="1" applyBorder="1"/>
    <xf numFmtId="0" fontId="12" fillId="0" borderId="12" xfId="0" applyFont="1" applyBorder="1"/>
    <xf numFmtId="0" fontId="21" fillId="0" borderId="0" xfId="0" applyFont="1" applyBorder="1"/>
    <xf numFmtId="0" fontId="1" fillId="0" borderId="9" xfId="0" quotePrefix="1" applyFont="1" applyBorder="1"/>
    <xf numFmtId="0" fontId="1" fillId="5" borderId="15" xfId="0" applyFont="1" applyFill="1" applyBorder="1"/>
    <xf numFmtId="0" fontId="1" fillId="26" borderId="1" xfId="0" applyFont="1" applyFill="1" applyBorder="1"/>
    <xf numFmtId="0" fontId="1" fillId="27" borderId="1" xfId="0" applyFont="1" applyFill="1" applyBorder="1"/>
    <xf numFmtId="0" fontId="1" fillId="27" borderId="3" xfId="0" applyFont="1" applyFill="1" applyBorder="1"/>
    <xf numFmtId="0" fontId="1" fillId="26" borderId="9" xfId="0" applyFont="1" applyFill="1" applyBorder="1"/>
    <xf numFmtId="0" fontId="1" fillId="26" borderId="12" xfId="0" applyFont="1" applyFill="1" applyBorder="1"/>
    <xf numFmtId="0" fontId="12" fillId="27" borderId="9" xfId="0" applyFont="1" applyFill="1" applyBorder="1"/>
    <xf numFmtId="0" fontId="1" fillId="27" borderId="12" xfId="0" applyFont="1" applyFill="1" applyBorder="1"/>
    <xf numFmtId="0" fontId="12" fillId="27" borderId="12" xfId="0" applyFont="1" applyFill="1" applyBorder="1"/>
    <xf numFmtId="0" fontId="1" fillId="27" borderId="10" xfId="0" applyFont="1" applyFill="1" applyBorder="1"/>
    <xf numFmtId="0" fontId="1" fillId="26" borderId="10" xfId="0" applyFont="1" applyFill="1" applyBorder="1"/>
    <xf numFmtId="0" fontId="38" fillId="8" borderId="9" xfId="0" applyFont="1" applyFill="1" applyBorder="1"/>
    <xf numFmtId="0" fontId="1" fillId="18" borderId="12" xfId="0" applyFont="1" applyFill="1" applyBorder="1"/>
    <xf numFmtId="0" fontId="1" fillId="11" borderId="12" xfId="0" applyFont="1" applyFill="1" applyBorder="1"/>
    <xf numFmtId="0" fontId="1" fillId="28" borderId="12" xfId="0" applyFont="1" applyFill="1" applyBorder="1"/>
    <xf numFmtId="0" fontId="0" fillId="9" borderId="12" xfId="0" applyFill="1" applyBorder="1"/>
    <xf numFmtId="0" fontId="3" fillId="20" borderId="1" xfId="0" applyFont="1" applyFill="1" applyBorder="1"/>
    <xf numFmtId="0" fontId="3" fillId="20" borderId="3" xfId="0" applyFont="1" applyFill="1" applyBorder="1"/>
    <xf numFmtId="0" fontId="34" fillId="20" borderId="9" xfId="0" applyFont="1" applyFill="1" applyBorder="1"/>
    <xf numFmtId="0" fontId="12" fillId="7" borderId="12" xfId="0" applyFont="1" applyFill="1" applyBorder="1"/>
    <xf numFmtId="0" fontId="3" fillId="8" borderId="1" xfId="0" applyFont="1" applyFill="1" applyBorder="1"/>
    <xf numFmtId="0" fontId="3" fillId="8" borderId="3" xfId="0" applyFont="1" applyFill="1" applyBorder="1"/>
    <xf numFmtId="0" fontId="12" fillId="11" borderId="0" xfId="0" applyFont="1" applyFill="1" applyBorder="1"/>
    <xf numFmtId="0" fontId="12" fillId="11" borderId="7" xfId="0" applyFont="1" applyFill="1" applyBorder="1"/>
    <xf numFmtId="0" fontId="7" fillId="0" borderId="0" xfId="0" applyFont="1"/>
    <xf numFmtId="0" fontId="7" fillId="0" borderId="0" xfId="0" applyFont="1" applyFill="1"/>
    <xf numFmtId="0" fontId="7" fillId="0" borderId="0" xfId="0" applyFont="1" applyBorder="1"/>
    <xf numFmtId="0" fontId="24" fillId="0" borderId="0" xfId="0" applyFont="1"/>
    <xf numFmtId="0" fontId="11" fillId="20" borderId="7" xfId="0" applyFont="1" applyFill="1" applyBorder="1"/>
    <xf numFmtId="0" fontId="34" fillId="20" borderId="0" xfId="0" applyFont="1" applyFill="1"/>
    <xf numFmtId="0" fontId="32" fillId="8" borderId="7" xfId="0" applyFont="1" applyFill="1" applyBorder="1"/>
    <xf numFmtId="0" fontId="38" fillId="8" borderId="0" xfId="0" applyFont="1" applyFill="1"/>
    <xf numFmtId="0" fontId="12" fillId="0" borderId="7" xfId="0" applyFont="1" applyFill="1" applyBorder="1"/>
    <xf numFmtId="0" fontId="12" fillId="0" borderId="7" xfId="0" applyFont="1" applyBorder="1"/>
    <xf numFmtId="0" fontId="34" fillId="20" borderId="2" xfId="0" applyFont="1" applyFill="1" applyBorder="1"/>
    <xf numFmtId="0" fontId="38" fillId="8" borderId="2" xfId="0" applyFont="1" applyFill="1" applyBorder="1"/>
    <xf numFmtId="0" fontId="12" fillId="14" borderId="7" xfId="0" applyFont="1" applyFill="1" applyBorder="1"/>
    <xf numFmtId="0" fontId="1" fillId="14" borderId="14" xfId="0" applyFont="1" applyFill="1" applyBorder="1"/>
    <xf numFmtId="0" fontId="1" fillId="14" borderId="13" xfId="0" applyFont="1" applyFill="1" applyBorder="1"/>
    <xf numFmtId="0" fontId="12" fillId="17" borderId="0" xfId="0" applyFont="1" applyFill="1"/>
    <xf numFmtId="0" fontId="34" fillId="17" borderId="0" xfId="0" applyFont="1" applyFill="1"/>
    <xf numFmtId="0" fontId="7" fillId="7" borderId="0" xfId="0" applyFont="1" applyFill="1" applyBorder="1"/>
    <xf numFmtId="0" fontId="7" fillId="6" borderId="7" xfId="0" applyFont="1" applyFill="1" applyBorder="1"/>
    <xf numFmtId="0" fontId="36" fillId="0" borderId="9" xfId="0" applyFont="1" applyBorder="1"/>
    <xf numFmtId="0" fontId="36" fillId="0" borderId="10" xfId="0" applyFont="1" applyBorder="1"/>
    <xf numFmtId="0" fontId="12" fillId="0" borderId="14" xfId="0" applyFont="1" applyBorder="1"/>
    <xf numFmtId="0" fontId="11" fillId="20" borderId="0" xfId="0" applyFont="1" applyFill="1"/>
    <xf numFmtId="0" fontId="36" fillId="0" borderId="7" xfId="0" applyFont="1" applyBorder="1"/>
    <xf numFmtId="0" fontId="7" fillId="0" borderId="7" xfId="0" applyFont="1" applyBorder="1"/>
    <xf numFmtId="0" fontId="32" fillId="8" borderId="0" xfId="0" applyFont="1" applyFill="1"/>
    <xf numFmtId="0" fontId="34" fillId="20" borderId="4" xfId="0" applyFont="1" applyFill="1" applyBorder="1"/>
    <xf numFmtId="0" fontId="1" fillId="20" borderId="5" xfId="0" applyFont="1" applyFill="1" applyBorder="1"/>
    <xf numFmtId="0" fontId="1" fillId="20" borderId="6" xfId="0" applyFont="1" applyFill="1" applyBorder="1"/>
    <xf numFmtId="0" fontId="38" fillId="8" borderId="4" xfId="0" applyFont="1" applyFill="1" applyBorder="1"/>
    <xf numFmtId="0" fontId="32" fillId="8" borderId="5" xfId="0" applyFont="1" applyFill="1" applyBorder="1"/>
    <xf numFmtId="0" fontId="32" fillId="8" borderId="6" xfId="0" applyFont="1" applyFill="1" applyBorder="1"/>
    <xf numFmtId="0" fontId="3" fillId="0" borderId="0" xfId="0" applyFont="1" applyFill="1"/>
    <xf numFmtId="0" fontId="1" fillId="16" borderId="1" xfId="0" applyFont="1" applyFill="1" applyBorder="1"/>
    <xf numFmtId="0" fontId="12" fillId="16" borderId="7" xfId="0" applyFont="1" applyFill="1" applyBorder="1"/>
    <xf numFmtId="0" fontId="1" fillId="16" borderId="9" xfId="0" applyFont="1" applyFill="1" applyBorder="1"/>
    <xf numFmtId="0" fontId="36" fillId="0" borderId="0" xfId="0" applyFont="1" applyBorder="1"/>
    <xf numFmtId="0" fontId="1" fillId="16" borderId="10" xfId="0" applyFont="1" applyFill="1" applyBorder="1"/>
    <xf numFmtId="0" fontId="1" fillId="16" borderId="15" xfId="0" applyFont="1" applyFill="1" applyBorder="1"/>
    <xf numFmtId="0" fontId="1" fillId="16" borderId="6" xfId="0" applyFont="1" applyFill="1" applyBorder="1"/>
    <xf numFmtId="0" fontId="34" fillId="0" borderId="0" xfId="0" applyFont="1" applyFill="1" applyBorder="1"/>
    <xf numFmtId="0" fontId="39" fillId="21" borderId="0" xfId="0" applyFont="1" applyFill="1"/>
    <xf numFmtId="0" fontId="1" fillId="0" borderId="1" xfId="0" applyFont="1" applyFill="1" applyBorder="1"/>
    <xf numFmtId="0" fontId="39" fillId="0" borderId="2" xfId="0" applyFont="1" applyFill="1" applyBorder="1"/>
    <xf numFmtId="0" fontId="1" fillId="0" borderId="10" xfId="0" applyFont="1" applyFill="1" applyBorder="1"/>
    <xf numFmtId="0" fontId="36" fillId="0" borderId="14" xfId="0" applyFont="1" applyFill="1" applyBorder="1"/>
    <xf numFmtId="0" fontId="1" fillId="0" borderId="14" xfId="0" applyFont="1" applyFill="1" applyBorder="1"/>
    <xf numFmtId="0" fontId="1" fillId="0" borderId="13" xfId="0" applyFont="1" applyFill="1" applyBorder="1"/>
    <xf numFmtId="0" fontId="34" fillId="3" borderId="0" xfId="0" applyFont="1" applyFill="1" applyBorder="1"/>
    <xf numFmtId="0" fontId="38" fillId="15" borderId="8" xfId="0" applyFont="1" applyFill="1" applyBorder="1"/>
    <xf numFmtId="0" fontId="1" fillId="16" borderId="7" xfId="0" applyFont="1" applyFill="1" applyBorder="1"/>
    <xf numFmtId="0" fontId="12" fillId="0" borderId="4" xfId="0" applyFont="1" applyBorder="1"/>
    <xf numFmtId="0" fontId="31" fillId="20" borderId="0" xfId="0" applyFont="1" applyFill="1" applyBorder="1"/>
    <xf numFmtId="0" fontId="31" fillId="20" borderId="12" xfId="0" applyFont="1" applyFill="1" applyBorder="1"/>
    <xf numFmtId="0" fontId="5" fillId="8" borderId="12" xfId="0" applyFont="1" applyFill="1" applyBorder="1"/>
    <xf numFmtId="0" fontId="11" fillId="5" borderId="0" xfId="0" applyFont="1" applyFill="1"/>
    <xf numFmtId="0" fontId="32" fillId="5" borderId="0" xfId="0" applyFont="1" applyFill="1"/>
    <xf numFmtId="0" fontId="3" fillId="0" borderId="2" xfId="0" applyFont="1" applyFill="1" applyBorder="1"/>
    <xf numFmtId="0" fontId="11" fillId="3" borderId="9" xfId="0" applyFont="1" applyFill="1" applyBorder="1"/>
    <xf numFmtId="0" fontId="3" fillId="5" borderId="0" xfId="0" applyFont="1" applyFill="1"/>
    <xf numFmtId="0" fontId="30" fillId="0" borderId="7" xfId="0" applyFont="1" applyFill="1" applyBorder="1"/>
    <xf numFmtId="0" fontId="7" fillId="18" borderId="0" xfId="0" applyFont="1" applyFill="1"/>
    <xf numFmtId="0" fontId="1" fillId="0" borderId="15" xfId="0" applyFont="1" applyFill="1" applyBorder="1"/>
    <xf numFmtId="0" fontId="13" fillId="0" borderId="7" xfId="0" applyFont="1" applyBorder="1"/>
    <xf numFmtId="0" fontId="11" fillId="20" borderId="11" xfId="0" applyFont="1" applyFill="1" applyBorder="1"/>
    <xf numFmtId="0" fontId="32" fillId="8" borderId="11" xfId="0" applyFont="1" applyFill="1" applyBorder="1"/>
    <xf numFmtId="0" fontId="1" fillId="2" borderId="11" xfId="0" applyFont="1" applyFill="1" applyBorder="1"/>
    <xf numFmtId="0" fontId="34" fillId="8" borderId="2" xfId="0" applyFont="1" applyFill="1" applyBorder="1"/>
    <xf numFmtId="0" fontId="11" fillId="8" borderId="0" xfId="0" applyFont="1" applyFill="1"/>
    <xf numFmtId="0" fontId="13" fillId="0" borderId="0" xfId="0" applyFont="1" applyBorder="1"/>
    <xf numFmtId="0" fontId="7" fillId="20" borderId="0" xfId="0" applyFont="1" applyFill="1"/>
    <xf numFmtId="0" fontId="13" fillId="20" borderId="7" xfId="0" applyFont="1" applyFill="1" applyBorder="1"/>
    <xf numFmtId="0" fontId="38" fillId="8" borderId="7" xfId="0" applyFont="1" applyFill="1" applyBorder="1"/>
    <xf numFmtId="0" fontId="3" fillId="5" borderId="0" xfId="0" applyFont="1" applyFill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1" fillId="0" borderId="7" xfId="0" applyFont="1" applyBorder="1"/>
    <xf numFmtId="0" fontId="31" fillId="0" borderId="0" xfId="0" applyFont="1"/>
    <xf numFmtId="0" fontId="13" fillId="29" borderId="0" xfId="0" applyFont="1" applyFill="1" applyBorder="1"/>
    <xf numFmtId="0" fontId="14" fillId="29" borderId="0" xfId="0" applyFont="1" applyFill="1" applyBorder="1"/>
    <xf numFmtId="0" fontId="1" fillId="29" borderId="0" xfId="0" applyFont="1" applyFill="1" applyBorder="1"/>
    <xf numFmtId="0" fontId="13" fillId="29" borderId="23" xfId="0" applyFont="1" applyFill="1" applyBorder="1"/>
    <xf numFmtId="0" fontId="14" fillId="29" borderId="24" xfId="0" applyFont="1" applyFill="1" applyBorder="1"/>
    <xf numFmtId="0" fontId="5" fillId="29" borderId="16" xfId="0" applyFont="1" applyFill="1" applyBorder="1"/>
    <xf numFmtId="0" fontId="5" fillId="29" borderId="0" xfId="0" applyFont="1" applyFill="1" applyBorder="1"/>
    <xf numFmtId="0" fontId="5" fillId="29" borderId="17" xfId="0" applyFont="1" applyFill="1" applyBorder="1"/>
    <xf numFmtId="2" fontId="5" fillId="29" borderId="18" xfId="0" applyNumberFormat="1" applyFont="1" applyFill="1" applyBorder="1"/>
    <xf numFmtId="0" fontId="40" fillId="29" borderId="19" xfId="0" applyFont="1" applyFill="1" applyBorder="1"/>
    <xf numFmtId="0" fontId="5" fillId="29" borderId="20" xfId="0" applyFont="1" applyFill="1" applyBorder="1"/>
    <xf numFmtId="0" fontId="41" fillId="29" borderId="21" xfId="0" applyFont="1" applyFill="1" applyBorder="1"/>
    <xf numFmtId="2" fontId="42" fillId="29" borderId="22" xfId="0" applyNumberFormat="1" applyFont="1" applyFill="1" applyBorder="1"/>
    <xf numFmtId="0" fontId="1" fillId="3" borderId="15" xfId="0" applyFont="1" applyFill="1" applyBorder="1"/>
    <xf numFmtId="0" fontId="12" fillId="30" borderId="0" xfId="0" applyFont="1" applyFill="1" applyBorder="1"/>
    <xf numFmtId="0" fontId="1" fillId="30" borderId="0" xfId="0" applyFont="1" applyFill="1" applyBorder="1"/>
    <xf numFmtId="0" fontId="11" fillId="30" borderId="0" xfId="0" applyFont="1" applyFill="1" applyBorder="1"/>
    <xf numFmtId="0" fontId="34" fillId="0" borderId="3" xfId="0" applyFont="1" applyFill="1" applyBorder="1"/>
    <xf numFmtId="0" fontId="38" fillId="0" borderId="3" xfId="0" applyFont="1" applyFill="1" applyBorder="1"/>
    <xf numFmtId="0" fontId="3" fillId="16" borderId="7" xfId="0" applyFont="1" applyFill="1" applyBorder="1"/>
    <xf numFmtId="0" fontId="1" fillId="16" borderId="4" xfId="0" applyFont="1" applyFill="1" applyBorder="1"/>
    <xf numFmtId="0" fontId="30" fillId="16" borderId="15" xfId="0" applyFont="1" applyFill="1" applyBorder="1"/>
    <xf numFmtId="0" fontId="3" fillId="16" borderId="11" xfId="0" applyFont="1" applyFill="1" applyBorder="1"/>
    <xf numFmtId="0" fontId="1" fillId="3" borderId="6" xfId="0" applyFont="1" applyFill="1" applyBorder="1"/>
    <xf numFmtId="0" fontId="11" fillId="3" borderId="15" xfId="0" applyFont="1" applyFill="1" applyBorder="1"/>
    <xf numFmtId="0" fontId="11" fillId="3" borderId="1" xfId="0" applyFont="1" applyFill="1" applyBorder="1"/>
    <xf numFmtId="0" fontId="27" fillId="0" borderId="3" xfId="0" applyFont="1" applyFill="1" applyBorder="1"/>
    <xf numFmtId="0" fontId="11" fillId="3" borderId="3" xfId="0" applyFont="1" applyFill="1" applyBorder="1"/>
    <xf numFmtId="0" fontId="1" fillId="3" borderId="8" xfId="0" applyFont="1" applyFill="1" applyBorder="1"/>
    <xf numFmtId="0" fontId="25" fillId="0" borderId="0" xfId="0" applyFont="1" applyFill="1" applyBorder="1"/>
    <xf numFmtId="0" fontId="1" fillId="2" borderId="2" xfId="0" applyFont="1" applyFill="1" applyBorder="1"/>
    <xf numFmtId="0" fontId="1" fillId="9" borderId="11" xfId="0" applyFont="1" applyFill="1" applyBorder="1"/>
    <xf numFmtId="0" fontId="11" fillId="3" borderId="0" xfId="0" applyFont="1" applyFill="1"/>
    <xf numFmtId="0" fontId="1" fillId="32" borderId="0" xfId="0" applyFont="1" applyFill="1"/>
    <xf numFmtId="0" fontId="5" fillId="3" borderId="0" xfId="0" applyFont="1" applyFill="1" applyBorder="1"/>
    <xf numFmtId="0" fontId="52" fillId="32" borderId="0" xfId="0" applyFont="1" applyFill="1"/>
    <xf numFmtId="0" fontId="5" fillId="32" borderId="2" xfId="0" applyFont="1" applyFill="1" applyBorder="1"/>
    <xf numFmtId="0" fontId="5" fillId="32" borderId="14" xfId="0" applyFont="1" applyFill="1" applyBorder="1"/>
    <xf numFmtId="0" fontId="5" fillId="32" borderId="3" xfId="0" applyFont="1" applyFill="1" applyBorder="1"/>
    <xf numFmtId="0" fontId="5" fillId="32" borderId="13" xfId="0" applyFont="1" applyFill="1" applyBorder="1"/>
    <xf numFmtId="0" fontId="53" fillId="32" borderId="26" xfId="0" applyFont="1" applyFill="1" applyBorder="1"/>
    <xf numFmtId="0" fontId="5" fillId="3" borderId="11" xfId="0" applyFont="1" applyFill="1" applyBorder="1"/>
    <xf numFmtId="0" fontId="1" fillId="33" borderId="0" xfId="0" applyFont="1" applyFill="1"/>
    <xf numFmtId="0" fontId="14" fillId="33" borderId="0" xfId="0" applyFont="1" applyFill="1"/>
    <xf numFmtId="0" fontId="21" fillId="33" borderId="25" xfId="0" applyFont="1" applyFill="1" applyBorder="1"/>
    <xf numFmtId="0" fontId="54" fillId="32" borderId="1" xfId="0" applyFont="1" applyFill="1" applyBorder="1"/>
    <xf numFmtId="0" fontId="54" fillId="32" borderId="10" xfId="0" applyFont="1" applyFill="1" applyBorder="1"/>
    <xf numFmtId="0" fontId="5" fillId="29" borderId="4" xfId="0" applyFont="1" applyFill="1" applyBorder="1"/>
    <xf numFmtId="0" fontId="5" fillId="29" borderId="1" xfId="0" applyFont="1" applyFill="1" applyBorder="1"/>
    <xf numFmtId="0" fontId="54" fillId="32" borderId="9" xfId="0" applyFont="1" applyFill="1" applyBorder="1"/>
    <xf numFmtId="0" fontId="1" fillId="0" borderId="4" xfId="0" applyFont="1" applyFill="1" applyBorder="1"/>
    <xf numFmtId="0" fontId="53" fillId="0" borderId="0" xfId="0" applyFont="1" applyFill="1" applyBorder="1"/>
    <xf numFmtId="0" fontId="1" fillId="0" borderId="6" xfId="0" applyFont="1" applyFill="1" applyBorder="1"/>
    <xf numFmtId="165" fontId="7" fillId="0" borderId="0" xfId="0" applyNumberFormat="1" applyFont="1" applyFill="1" applyBorder="1"/>
    <xf numFmtId="2" fontId="7" fillId="0" borderId="0" xfId="0" applyNumberFormat="1" applyFont="1" applyFill="1" applyBorder="1"/>
    <xf numFmtId="166" fontId="7" fillId="0" borderId="0" xfId="0" applyNumberFormat="1" applyFont="1" applyFill="1" applyBorder="1"/>
    <xf numFmtId="165" fontId="5" fillId="29" borderId="16" xfId="0" applyNumberFormat="1" applyFont="1" applyFill="1" applyBorder="1"/>
    <xf numFmtId="2" fontId="5" fillId="29" borderId="16" xfId="0" applyNumberFormat="1" applyFont="1" applyFill="1" applyBorder="1"/>
    <xf numFmtId="166" fontId="5" fillId="29" borderId="16" xfId="0" applyNumberFormat="1" applyFont="1" applyFill="1" applyBorder="1"/>
    <xf numFmtId="0" fontId="1" fillId="7" borderId="7" xfId="0" applyFont="1" applyFill="1" applyBorder="1"/>
    <xf numFmtId="0" fontId="54" fillId="29" borderId="0" xfId="0" applyFont="1" applyFill="1" applyBorder="1"/>
    <xf numFmtId="0" fontId="44" fillId="0" borderId="0" xfId="0" applyFont="1" applyFill="1" applyBorder="1"/>
    <xf numFmtId="0" fontId="13" fillId="0" borderId="0" xfId="0" applyFont="1" applyFill="1" applyBorder="1"/>
    <xf numFmtId="0" fontId="46" fillId="0" borderId="0" xfId="0" applyFont="1" applyFill="1" applyBorder="1"/>
    <xf numFmtId="0" fontId="43" fillId="0" borderId="0" xfId="0" applyFont="1" applyFill="1" applyBorder="1" applyAlignment="1">
      <alignment horizontal="right"/>
    </xf>
    <xf numFmtId="0" fontId="47" fillId="0" borderId="0" xfId="0" applyFont="1" applyFill="1" applyBorder="1"/>
    <xf numFmtId="0" fontId="48" fillId="0" borderId="0" xfId="0" applyFont="1" applyFill="1" applyBorder="1"/>
    <xf numFmtId="0" fontId="15" fillId="0" borderId="0" xfId="0" applyFont="1" applyFill="1" applyBorder="1"/>
    <xf numFmtId="0" fontId="50" fillId="0" borderId="0" xfId="0" applyFont="1" applyFill="1" applyBorder="1" applyAlignment="1">
      <alignment horizontal="right"/>
    </xf>
    <xf numFmtId="0" fontId="15" fillId="0" borderId="0" xfId="0" applyFont="1" applyFill="1" applyBorder="1" applyAlignment="1">
      <alignment horizontal="center"/>
    </xf>
    <xf numFmtId="0" fontId="17" fillId="0" borderId="0" xfId="0" applyFont="1" applyFill="1" applyBorder="1"/>
    <xf numFmtId="0" fontId="17" fillId="0" borderId="0" xfId="0" applyFont="1" applyFill="1" applyBorder="1" applyAlignment="1">
      <alignment horizontal="right"/>
    </xf>
    <xf numFmtId="0" fontId="21" fillId="0" borderId="0" xfId="0" applyFont="1" applyFill="1" applyBorder="1"/>
    <xf numFmtId="0" fontId="12" fillId="3" borderId="0" xfId="0" applyFont="1" applyFill="1" applyBorder="1"/>
    <xf numFmtId="0" fontId="44" fillId="3" borderId="0" xfId="0" applyFont="1" applyFill="1" applyBorder="1"/>
    <xf numFmtId="0" fontId="45" fillId="3" borderId="0" xfId="0" applyFont="1" applyFill="1" applyBorder="1"/>
    <xf numFmtId="0" fontId="44" fillId="3" borderId="0" xfId="0" applyFont="1" applyFill="1" applyBorder="1" applyAlignment="1">
      <alignment horizontal="right"/>
    </xf>
    <xf numFmtId="0" fontId="49" fillId="3" borderId="0" xfId="0" applyFont="1" applyFill="1" applyBorder="1" applyAlignment="1">
      <alignment horizontal="right"/>
    </xf>
    <xf numFmtId="0" fontId="1" fillId="2" borderId="4" xfId="0" applyFont="1" applyFill="1" applyBorder="1"/>
    <xf numFmtId="0" fontId="1" fillId="2" borderId="8" xfId="0" applyFont="1" applyFill="1" applyBorder="1"/>
    <xf numFmtId="0" fontId="31" fillId="2" borderId="2" xfId="0" applyFont="1" applyFill="1" applyBorder="1"/>
    <xf numFmtId="0" fontId="0" fillId="3" borderId="0" xfId="0" applyFill="1" applyBorder="1"/>
    <xf numFmtId="14" fontId="1" fillId="0" borderId="0" xfId="0" applyNumberFormat="1" applyFont="1" applyBorder="1"/>
    <xf numFmtId="0" fontId="3" fillId="20" borderId="0" xfId="0" applyFont="1" applyFill="1" applyBorder="1"/>
    <xf numFmtId="0" fontId="51" fillId="0" borderId="0" xfId="0" applyFont="1" applyBorder="1"/>
    <xf numFmtId="0" fontId="9" fillId="0" borderId="0" xfId="0" applyFont="1" applyBorder="1"/>
    <xf numFmtId="0" fontId="3" fillId="2" borderId="1" xfId="0" applyFont="1" applyFill="1" applyBorder="1"/>
    <xf numFmtId="0" fontId="3" fillId="2" borderId="9" xfId="0" applyFont="1" applyFill="1" applyBorder="1"/>
    <xf numFmtId="0" fontId="1" fillId="10" borderId="0" xfId="0" applyFont="1" applyFill="1"/>
    <xf numFmtId="0" fontId="5" fillId="10" borderId="0" xfId="0" applyFont="1" applyFill="1"/>
    <xf numFmtId="0" fontId="1" fillId="25" borderId="0" xfId="0" applyFont="1" applyFill="1"/>
    <xf numFmtId="0" fontId="1" fillId="11" borderId="0" xfId="0" applyFont="1" applyFill="1"/>
    <xf numFmtId="0" fontId="1" fillId="9" borderId="0" xfId="0" applyFont="1" applyFill="1"/>
    <xf numFmtId="0" fontId="10" fillId="0" borderId="7" xfId="0" applyFont="1" applyBorder="1"/>
    <xf numFmtId="0" fontId="5" fillId="8" borderId="0" xfId="0" applyFont="1" applyFill="1"/>
    <xf numFmtId="0" fontId="10" fillId="0" borderId="0" xfId="0" applyFont="1"/>
    <xf numFmtId="0" fontId="5" fillId="8" borderId="7" xfId="0" applyFont="1" applyFill="1" applyBorder="1"/>
    <xf numFmtId="0" fontId="12" fillId="31" borderId="0" xfId="0" applyFont="1" applyFill="1"/>
    <xf numFmtId="0" fontId="54" fillId="29" borderId="11" xfId="0" applyFont="1" applyFill="1" applyBorder="1"/>
    <xf numFmtId="0" fontId="7" fillId="0" borderId="0" xfId="0" applyFont="1" applyFill="1" applyBorder="1"/>
    <xf numFmtId="0" fontId="3" fillId="2" borderId="0" xfId="0" applyFont="1" applyFill="1"/>
    <xf numFmtId="0" fontId="1" fillId="18" borderId="15" xfId="0" applyFont="1" applyFill="1" applyBorder="1"/>
    <xf numFmtId="0" fontId="1" fillId="21" borderId="15" xfId="0" applyFont="1" applyFill="1" applyBorder="1"/>
    <xf numFmtId="0" fontId="1" fillId="25" borderId="15" xfId="0" applyFont="1" applyFill="1" applyBorder="1"/>
    <xf numFmtId="0" fontId="1" fillId="9" borderId="15" xfId="0" applyFont="1" applyFill="1" applyBorder="1"/>
    <xf numFmtId="0" fontId="1" fillId="0" borderId="27" xfId="0" applyFont="1" applyBorder="1"/>
    <xf numFmtId="0" fontId="1" fillId="18" borderId="11" xfId="0" applyFont="1" applyFill="1" applyBorder="1"/>
    <xf numFmtId="0" fontId="1" fillId="21" borderId="11" xfId="0" applyFont="1" applyFill="1" applyBorder="1"/>
    <xf numFmtId="0" fontId="1" fillId="25" borderId="11" xfId="0" applyFont="1" applyFill="1" applyBorder="1"/>
    <xf numFmtId="0" fontId="43" fillId="0" borderId="0" xfId="0" applyFont="1"/>
    <xf numFmtId="0" fontId="21" fillId="0" borderId="0" xfId="0" applyFont="1"/>
    <xf numFmtId="0" fontId="1" fillId="14" borderId="0" xfId="0" applyFont="1" applyFill="1"/>
    <xf numFmtId="0" fontId="1" fillId="0" borderId="11" xfId="0" applyFont="1" applyFill="1" applyBorder="1"/>
    <xf numFmtId="0" fontId="7" fillId="20" borderId="0" xfId="0" applyFont="1" applyFill="1" applyBorder="1"/>
    <xf numFmtId="0" fontId="31" fillId="33" borderId="0" xfId="0" applyFont="1" applyFill="1"/>
    <xf numFmtId="0" fontId="21" fillId="33" borderId="0" xfId="0" applyFont="1" applyFill="1"/>
    <xf numFmtId="0" fontId="30" fillId="33" borderId="0" xfId="0" applyFont="1" applyFill="1"/>
    <xf numFmtId="0" fontId="55" fillId="33" borderId="0" xfId="0" applyFont="1" applyFill="1"/>
    <xf numFmtId="0" fontId="53" fillId="32" borderId="0" xfId="0" applyFont="1" applyFill="1"/>
    <xf numFmtId="0" fontId="53" fillId="32" borderId="0" xfId="0" applyFont="1" applyFill="1" applyBorder="1"/>
    <xf numFmtId="0" fontId="31" fillId="32" borderId="0" xfId="0" applyFont="1" applyFill="1"/>
    <xf numFmtId="0" fontId="53" fillId="29" borderId="26" xfId="0" applyFont="1" applyFill="1" applyBorder="1"/>
    <xf numFmtId="0" fontId="54" fillId="32" borderId="0" xfId="0" applyFont="1" applyFill="1"/>
    <xf numFmtId="0" fontId="56" fillId="0" borderId="7" xfId="0" applyFont="1" applyFill="1" applyBorder="1"/>
    <xf numFmtId="0" fontId="1" fillId="3" borderId="4" xfId="0" applyFont="1" applyFill="1" applyBorder="1"/>
    <xf numFmtId="0" fontId="12" fillId="0" borderId="15" xfId="0" applyFont="1" applyFill="1" applyBorder="1"/>
    <xf numFmtId="0" fontId="53" fillId="0" borderId="7" xfId="0" applyFont="1" applyFill="1" applyBorder="1"/>
    <xf numFmtId="0" fontId="3" fillId="0" borderId="5" xfId="0" applyFont="1" applyFill="1" applyBorder="1"/>
    <xf numFmtId="0" fontId="15" fillId="0" borderId="0" xfId="0" applyFont="1"/>
    <xf numFmtId="0" fontId="37" fillId="33" borderId="0" xfId="0" applyFont="1" applyFill="1" applyBorder="1"/>
    <xf numFmtId="0" fontId="12" fillId="2" borderId="11" xfId="0" applyFont="1" applyFill="1" applyBorder="1"/>
    <xf numFmtId="0" fontId="13" fillId="2" borderId="0" xfId="0" applyFont="1" applyFill="1" applyBorder="1"/>
    <xf numFmtId="0" fontId="14" fillId="2" borderId="0" xfId="0" applyFont="1" applyFill="1" applyBorder="1"/>
    <xf numFmtId="0" fontId="43" fillId="2" borderId="4" xfId="0" applyFont="1" applyFill="1" applyBorder="1"/>
    <xf numFmtId="0" fontId="1" fillId="2" borderId="1" xfId="0" applyFont="1" applyFill="1" applyBorder="1"/>
    <xf numFmtId="2" fontId="1" fillId="2" borderId="3" xfId="0" applyNumberFormat="1" applyFont="1" applyFill="1" applyBorder="1"/>
    <xf numFmtId="0" fontId="43" fillId="2" borderId="7" xfId="0" applyFont="1" applyFill="1" applyBorder="1"/>
    <xf numFmtId="0" fontId="18" fillId="2" borderId="9" xfId="0" applyFont="1" applyFill="1" applyBorder="1"/>
    <xf numFmtId="2" fontId="43" fillId="2" borderId="7" xfId="0" applyNumberFormat="1" applyFont="1" applyFill="1" applyBorder="1"/>
    <xf numFmtId="0" fontId="19" fillId="2" borderId="10" xfId="0" applyFont="1" applyFill="1" applyBorder="1"/>
    <xf numFmtId="2" fontId="20" fillId="2" borderId="13" xfId="0" applyNumberFormat="1" applyFont="1" applyFill="1" applyBorder="1"/>
    <xf numFmtId="165" fontId="31" fillId="2" borderId="7" xfId="0" applyNumberFormat="1" applyFont="1" applyFill="1" applyBorder="1"/>
    <xf numFmtId="0" fontId="15" fillId="2" borderId="0" xfId="0" applyFont="1" applyFill="1" applyBorder="1"/>
    <xf numFmtId="0" fontId="15" fillId="2" borderId="2" xfId="0" applyFont="1" applyFill="1" applyBorder="1"/>
    <xf numFmtId="0" fontId="17" fillId="2" borderId="0" xfId="0" applyFont="1" applyFill="1" applyBorder="1"/>
    <xf numFmtId="0" fontId="1" fillId="2" borderId="14" xfId="0" applyFont="1" applyFill="1" applyBorder="1"/>
    <xf numFmtId="166" fontId="43" fillId="2" borderId="4" xfId="0" applyNumberFormat="1" applyFont="1" applyFill="1" applyBorder="1"/>
    <xf numFmtId="166" fontId="43" fillId="2" borderId="7" xfId="0" applyNumberFormat="1" applyFont="1" applyFill="1" applyBorder="1"/>
    <xf numFmtId="0" fontId="13" fillId="2" borderId="13" xfId="0" applyFont="1" applyFill="1" applyBorder="1"/>
    <xf numFmtId="0" fontId="14" fillId="2" borderId="3" xfId="0" applyFont="1" applyFill="1" applyBorder="1"/>
    <xf numFmtId="0" fontId="1" fillId="28" borderId="11" xfId="0" applyFont="1" applyFill="1" applyBorder="1"/>
    <xf numFmtId="0" fontId="31" fillId="13" borderId="8" xfId="0" applyFont="1" applyFill="1" applyBorder="1"/>
    <xf numFmtId="0" fontId="31" fillId="14" borderId="8" xfId="0" applyFont="1" applyFill="1" applyBorder="1"/>
    <xf numFmtId="0" fontId="31" fillId="0" borderId="7" xfId="0" applyFont="1" applyFill="1" applyBorder="1"/>
    <xf numFmtId="0" fontId="7" fillId="0" borderId="0" xfId="0" applyFont="1" applyFill="1" applyBorder="1"/>
    <xf numFmtId="0" fontId="24" fillId="2" borderId="0" xfId="0" applyFont="1" applyFill="1" applyBorder="1"/>
    <xf numFmtId="0" fontId="1" fillId="8" borderId="9" xfId="0" applyFont="1" applyFill="1" applyBorder="1"/>
    <xf numFmtId="0" fontId="0" fillId="8" borderId="0" xfId="0" applyFill="1" applyBorder="1"/>
    <xf numFmtId="0" fontId="31" fillId="8" borderId="0" xfId="0" applyFont="1" applyFill="1" applyBorder="1"/>
    <xf numFmtId="0" fontId="0" fillId="8" borderId="0" xfId="0" applyFill="1"/>
    <xf numFmtId="0" fontId="12" fillId="32" borderId="0" xfId="0" applyFont="1" applyFill="1"/>
    <xf numFmtId="0" fontId="30" fillId="29" borderId="0" xfId="0" applyFont="1" applyFill="1"/>
    <xf numFmtId="0" fontId="12" fillId="29" borderId="0" xfId="0" applyFont="1" applyFill="1"/>
    <xf numFmtId="0" fontId="62" fillId="29" borderId="4" xfId="0" applyFont="1" applyFill="1" applyBorder="1"/>
    <xf numFmtId="0" fontId="12" fillId="29" borderId="6" xfId="0" applyFont="1" applyFill="1" applyBorder="1"/>
    <xf numFmtId="0" fontId="12" fillId="29" borderId="28" xfId="0" applyFont="1" applyFill="1" applyBorder="1"/>
    <xf numFmtId="0" fontId="12" fillId="29" borderId="27" xfId="0" applyFont="1" applyFill="1" applyBorder="1"/>
    <xf numFmtId="0" fontId="12" fillId="29" borderId="29" xfId="0" applyFont="1" applyFill="1" applyBorder="1"/>
    <xf numFmtId="0" fontId="12" fillId="29" borderId="30" xfId="0" applyFont="1" applyFill="1" applyBorder="1"/>
    <xf numFmtId="0" fontId="63" fillId="29" borderId="32" xfId="0" applyFont="1" applyFill="1" applyBorder="1"/>
    <xf numFmtId="0" fontId="12" fillId="29" borderId="0" xfId="0" applyFont="1" applyFill="1" applyBorder="1"/>
    <xf numFmtId="0" fontId="12" fillId="29" borderId="33" xfId="0" applyFont="1" applyFill="1" applyBorder="1"/>
    <xf numFmtId="0" fontId="12" fillId="29" borderId="34" xfId="0" applyFont="1" applyFill="1" applyBorder="1"/>
    <xf numFmtId="0" fontId="12" fillId="29" borderId="35" xfId="0" applyFont="1" applyFill="1" applyBorder="1"/>
    <xf numFmtId="0" fontId="12" fillId="3" borderId="0" xfId="0" applyFont="1" applyFill="1"/>
    <xf numFmtId="0" fontId="12" fillId="29" borderId="37" xfId="0" applyFont="1" applyFill="1" applyBorder="1"/>
    <xf numFmtId="2" fontId="64" fillId="29" borderId="36" xfId="0" applyNumberFormat="1" applyFont="1" applyFill="1" applyBorder="1"/>
    <xf numFmtId="0" fontId="14" fillId="29" borderId="0" xfId="0" applyFont="1" applyFill="1"/>
    <xf numFmtId="0" fontId="31" fillId="3" borderId="0" xfId="0" applyFont="1" applyFill="1"/>
    <xf numFmtId="0" fontId="1" fillId="32" borderId="0" xfId="0" applyFont="1" applyFill="1" applyBorder="1"/>
    <xf numFmtId="0" fontId="1" fillId="0" borderId="5" xfId="0" applyFont="1" applyFill="1" applyBorder="1"/>
    <xf numFmtId="0" fontId="19" fillId="0" borderId="6" xfId="0" applyFont="1" applyFill="1" applyBorder="1"/>
    <xf numFmtId="0" fontId="15" fillId="0" borderId="6" xfId="0" applyFont="1" applyFill="1" applyBorder="1"/>
    <xf numFmtId="0" fontId="15" fillId="0" borderId="7" xfId="0" applyFont="1" applyFill="1" applyBorder="1"/>
    <xf numFmtId="0" fontId="14" fillId="0" borderId="7" xfId="0" applyFont="1" applyFill="1" applyBorder="1"/>
    <xf numFmtId="2" fontId="18" fillId="0" borderId="1" xfId="0" applyNumberFormat="1" applyFont="1" applyFill="1" applyBorder="1"/>
    <xf numFmtId="0" fontId="13" fillId="0" borderId="4" xfId="0" applyFont="1" applyFill="1" applyBorder="1"/>
    <xf numFmtId="0" fontId="14" fillId="0" borderId="1" xfId="0" applyFont="1" applyFill="1" applyBorder="1"/>
    <xf numFmtId="0" fontId="11" fillId="0" borderId="11" xfId="0" applyFont="1" applyFill="1" applyBorder="1"/>
    <xf numFmtId="0" fontId="1" fillId="2" borderId="6" xfId="0" applyFont="1" applyFill="1" applyBorder="1"/>
    <xf numFmtId="0" fontId="3" fillId="2" borderId="11" xfId="0" applyFont="1" applyFill="1" applyBorder="1"/>
    <xf numFmtId="0" fontId="1" fillId="30" borderId="0" xfId="0" applyFont="1" applyFill="1"/>
    <xf numFmtId="0" fontId="14" fillId="2" borderId="0" xfId="0" applyFont="1" applyFill="1"/>
    <xf numFmtId="0" fontId="19" fillId="2" borderId="9" xfId="0" applyFont="1" applyFill="1" applyBorder="1"/>
    <xf numFmtId="0" fontId="1" fillId="2" borderId="10" xfId="0" applyFont="1" applyFill="1" applyBorder="1"/>
    <xf numFmtId="2" fontId="18" fillId="2" borderId="13" xfId="0" applyNumberFormat="1" applyFont="1" applyFill="1" applyBorder="1"/>
    <xf numFmtId="0" fontId="13" fillId="2" borderId="0" xfId="0" applyFont="1" applyFill="1"/>
    <xf numFmtId="0" fontId="12" fillId="32" borderId="25" xfId="0" applyFont="1" applyFill="1" applyBorder="1"/>
    <xf numFmtId="0" fontId="21" fillId="30" borderId="25" xfId="0" applyFont="1" applyFill="1" applyBorder="1"/>
    <xf numFmtId="0" fontId="21" fillId="0" borderId="0" xfId="0" applyFont="1" applyFill="1" applyBorder="1"/>
    <xf numFmtId="0" fontId="12" fillId="2" borderId="7" xfId="0" applyFont="1" applyFill="1" applyBorder="1"/>
    <xf numFmtId="0" fontId="3" fillId="24" borderId="0" xfId="0" applyFont="1" applyFill="1"/>
    <xf numFmtId="0" fontId="3" fillId="11" borderId="0" xfId="0" applyFont="1" applyFill="1"/>
    <xf numFmtId="0" fontId="3" fillId="21" borderId="0" xfId="0" applyFont="1" applyFill="1"/>
    <xf numFmtId="0" fontId="1" fillId="8" borderId="27" xfId="0" applyFont="1" applyFill="1" applyBorder="1"/>
    <xf numFmtId="0" fontId="1" fillId="0" borderId="38" xfId="0" applyFont="1" applyBorder="1"/>
    <xf numFmtId="0" fontId="1" fillId="0" borderId="39" xfId="0" applyFont="1" applyBorder="1"/>
    <xf numFmtId="0" fontId="1" fillId="0" borderId="40" xfId="0" applyFont="1" applyBorder="1"/>
    <xf numFmtId="0" fontId="1" fillId="0" borderId="33" xfId="0" applyFont="1" applyBorder="1"/>
    <xf numFmtId="0" fontId="1" fillId="7" borderId="15" xfId="0" applyFont="1" applyFill="1" applyBorder="1"/>
    <xf numFmtId="0" fontId="1" fillId="34" borderId="15" xfId="0" applyFont="1" applyFill="1" applyBorder="1"/>
    <xf numFmtId="0" fontId="1" fillId="0" borderId="41" xfId="0" applyFont="1" applyBorder="1"/>
    <xf numFmtId="0" fontId="1" fillId="0" borderId="41" xfId="0" applyFont="1" applyFill="1" applyBorder="1"/>
    <xf numFmtId="0" fontId="31" fillId="0" borderId="38" xfId="0" applyFont="1" applyBorder="1"/>
    <xf numFmtId="0" fontId="31" fillId="0" borderId="39" xfId="0" applyFont="1" applyBorder="1"/>
    <xf numFmtId="0" fontId="1" fillId="5" borderId="27" xfId="0" applyFont="1" applyFill="1" applyBorder="1"/>
    <xf numFmtId="0" fontId="5" fillId="0" borderId="41" xfId="0" applyFont="1" applyFill="1" applyBorder="1"/>
    <xf numFmtId="0" fontId="1" fillId="7" borderId="11" xfId="0" applyFont="1" applyFill="1" applyBorder="1"/>
    <xf numFmtId="0" fontId="1" fillId="34" borderId="11" xfId="0" applyFont="1" applyFill="1" applyBorder="1"/>
    <xf numFmtId="0" fontId="5" fillId="0" borderId="0" xfId="0" applyFont="1"/>
    <xf numFmtId="0" fontId="1" fillId="0" borderId="42" xfId="0" applyFont="1" applyBorder="1"/>
    <xf numFmtId="0" fontId="1" fillId="0" borderId="42" xfId="0" applyFont="1" applyFill="1" applyBorder="1"/>
    <xf numFmtId="0" fontId="1" fillId="0" borderId="36" xfId="0" applyFont="1" applyBorder="1"/>
    <xf numFmtId="0" fontId="1" fillId="21" borderId="7" xfId="0" applyFont="1" applyFill="1" applyBorder="1"/>
    <xf numFmtId="0" fontId="5" fillId="21" borderId="0" xfId="0" applyFont="1" applyFill="1"/>
    <xf numFmtId="0" fontId="5" fillId="0" borderId="7" xfId="0" applyFont="1" applyBorder="1"/>
    <xf numFmtId="0" fontId="36" fillId="0" borderId="0" xfId="0" applyFont="1"/>
    <xf numFmtId="0" fontId="1" fillId="25" borderId="0" xfId="0" applyFont="1" applyFill="1" applyBorder="1"/>
    <xf numFmtId="0" fontId="12" fillId="0" borderId="27" xfId="0" applyFont="1" applyFill="1" applyBorder="1"/>
    <xf numFmtId="0" fontId="12" fillId="7" borderId="0" xfId="0" applyFont="1" applyFill="1"/>
    <xf numFmtId="0" fontId="7" fillId="9" borderId="7" xfId="0" applyFont="1" applyFill="1" applyBorder="1"/>
    <xf numFmtId="0" fontId="1" fillId="6" borderId="0" xfId="0" applyFont="1" applyFill="1"/>
    <xf numFmtId="0" fontId="1" fillId="0" borderId="25" xfId="0" applyFont="1" applyBorder="1"/>
    <xf numFmtId="0" fontId="12" fillId="25" borderId="41" xfId="0" applyFont="1" applyFill="1" applyBorder="1"/>
    <xf numFmtId="0" fontId="12" fillId="25" borderId="27" xfId="0" applyFont="1" applyFill="1" applyBorder="1"/>
    <xf numFmtId="0" fontId="65" fillId="5" borderId="27" xfId="0" applyFont="1" applyFill="1" applyBorder="1"/>
    <xf numFmtId="0" fontId="31" fillId="30" borderId="0" xfId="0" applyFont="1" applyFill="1"/>
    <xf numFmtId="0" fontId="53" fillId="30" borderId="0" xfId="0" applyFont="1" applyFill="1"/>
    <xf numFmtId="0" fontId="21" fillId="30" borderId="28" xfId="0" applyFont="1" applyFill="1" applyBorder="1"/>
    <xf numFmtId="0" fontId="21" fillId="30" borderId="43" xfId="0" applyFont="1" applyFill="1" applyBorder="1"/>
    <xf numFmtId="0" fontId="12" fillId="30" borderId="0" xfId="0" applyFont="1" applyFill="1"/>
    <xf numFmtId="0" fontId="66" fillId="30" borderId="0" xfId="0" applyFont="1" applyFill="1"/>
    <xf numFmtId="0" fontId="21" fillId="30" borderId="0" xfId="0" applyFont="1" applyFill="1"/>
    <xf numFmtId="0" fontId="31" fillId="0" borderId="44" xfId="0" applyFont="1" applyBorder="1"/>
    <xf numFmtId="0" fontId="31" fillId="0" borderId="45" xfId="0" applyFont="1" applyBorder="1"/>
    <xf numFmtId="0" fontId="67" fillId="0" borderId="0" xfId="0" applyFont="1"/>
    <xf numFmtId="0" fontId="12" fillId="21" borderId="7" xfId="0" applyFont="1" applyFill="1" applyBorder="1"/>
    <xf numFmtId="0" fontId="12" fillId="21" borderId="15" xfId="0" applyFont="1" applyFill="1" applyBorder="1"/>
    <xf numFmtId="0" fontId="14" fillId="0" borderId="0" xfId="0" applyFont="1" applyFill="1"/>
    <xf numFmtId="0" fontId="5" fillId="0" borderId="0" xfId="0" applyFont="1" applyFill="1"/>
    <xf numFmtId="0" fontId="7" fillId="21" borderId="0" xfId="0" applyFont="1" applyFill="1"/>
    <xf numFmtId="0" fontId="43" fillId="0" borderId="0" xfId="0" applyFont="1" applyFill="1"/>
    <xf numFmtId="0" fontId="38" fillId="15" borderId="0" xfId="0" applyFont="1" applyFill="1"/>
    <xf numFmtId="0" fontId="31" fillId="0" borderId="0" xfId="0" applyFont="1" applyFill="1" applyBorder="1"/>
    <xf numFmtId="0" fontId="66" fillId="0" borderId="0" xfId="0" applyFont="1" applyFill="1" applyBorder="1"/>
    <xf numFmtId="165" fontId="12" fillId="29" borderId="27" xfId="0" applyNumberFormat="1" applyFont="1" applyFill="1" applyBorder="1"/>
    <xf numFmtId="166" fontId="12" fillId="29" borderId="37" xfId="0" applyNumberFormat="1" applyFont="1" applyFill="1" applyBorder="1"/>
    <xf numFmtId="166" fontId="12" fillId="29" borderId="27" xfId="0" applyNumberFormat="1" applyFont="1" applyFill="1" applyBorder="1"/>
    <xf numFmtId="2" fontId="12" fillId="29" borderId="31" xfId="0" applyNumberFormat="1" applyFont="1" applyFill="1" applyBorder="1"/>
    <xf numFmtId="0" fontId="21" fillId="3" borderId="0" xfId="0" applyFont="1" applyFill="1"/>
    <xf numFmtId="0" fontId="56" fillId="32" borderId="0" xfId="0" applyFont="1" applyFill="1"/>
    <xf numFmtId="0" fontId="21" fillId="32" borderId="0" xfId="0" applyFont="1" applyFill="1"/>
    <xf numFmtId="0" fontId="54" fillId="3" borderId="0" xfId="0" applyFont="1" applyFill="1"/>
    <xf numFmtId="0" fontId="56" fillId="30" borderId="0" xfId="0" applyFont="1" applyFill="1"/>
    <xf numFmtId="0" fontId="68" fillId="2" borderId="7" xfId="0" applyFont="1" applyFill="1" applyBorder="1"/>
    <xf numFmtId="166" fontId="68" fillId="2" borderId="7" xfId="0" applyNumberFormat="1" applyFont="1" applyFill="1" applyBorder="1"/>
    <xf numFmtId="165" fontId="68" fillId="2" borderId="7" xfId="0" applyNumberFormat="1" applyFont="1" applyFill="1" applyBorder="1"/>
    <xf numFmtId="2" fontId="68" fillId="2" borderId="7" xfId="0" applyNumberFormat="1" applyFont="1" applyFill="1" applyBorder="1"/>
    <xf numFmtId="0" fontId="5" fillId="2" borderId="4" xfId="0" applyFont="1" applyFill="1" applyBorder="1"/>
    <xf numFmtId="0" fontId="14" fillId="2" borderId="15" xfId="0" applyFont="1" applyFill="1" applyBorder="1"/>
    <xf numFmtId="0" fontId="14" fillId="2" borderId="8" xfId="0" applyFont="1" applyFill="1" applyBorder="1"/>
    <xf numFmtId="0" fontId="1" fillId="3" borderId="10" xfId="0" applyFont="1" applyFill="1" applyBorder="1"/>
    <xf numFmtId="0" fontId="30" fillId="2" borderId="6" xfId="0" applyFont="1" applyFill="1" applyBorder="1"/>
    <xf numFmtId="0" fontId="1" fillId="2" borderId="15" xfId="0" applyFont="1" applyFill="1" applyBorder="1"/>
    <xf numFmtId="0" fontId="65" fillId="2" borderId="15" xfId="0" applyFont="1" applyFill="1" applyBorder="1"/>
    <xf numFmtId="0" fontId="1" fillId="3" borderId="1" xfId="0" applyFont="1" applyFill="1" applyBorder="1"/>
    <xf numFmtId="0" fontId="3" fillId="2" borderId="13" xfId="0" applyFont="1" applyFill="1" applyBorder="1"/>
    <xf numFmtId="166" fontId="1" fillId="0" borderId="0" xfId="0" applyNumberFormat="1" applyFont="1" applyFill="1" applyBorder="1"/>
    <xf numFmtId="165" fontId="1" fillId="0" borderId="0" xfId="0" applyNumberFormat="1" applyFont="1" applyFill="1" applyBorder="1"/>
    <xf numFmtId="2" fontId="1" fillId="0" borderId="10" xfId="0" applyNumberFormat="1" applyFont="1" applyFill="1" applyBorder="1"/>
    <xf numFmtId="0" fontId="3" fillId="0" borderId="6" xfId="0" applyFont="1" applyFill="1" applyBorder="1"/>
    <xf numFmtId="0" fontId="31" fillId="0" borderId="13" xfId="0" applyFont="1" applyFill="1" applyBorder="1"/>
    <xf numFmtId="0" fontId="31" fillId="0" borderId="6" xfId="0" applyFont="1" applyFill="1" applyBorder="1"/>
    <xf numFmtId="0" fontId="3" fillId="0" borderId="1" xfId="0" applyFont="1" applyFill="1" applyBorder="1"/>
    <xf numFmtId="0" fontId="1" fillId="0" borderId="25" xfId="0" applyFont="1" applyFill="1" applyBorder="1"/>
    <xf numFmtId="0" fontId="69" fillId="0" borderId="0" xfId="0" applyFont="1"/>
    <xf numFmtId="0" fontId="0" fillId="24" borderId="0" xfId="0" applyFill="1"/>
    <xf numFmtId="0" fontId="0" fillId="0" borderId="0" xfId="0" applyBorder="1"/>
    <xf numFmtId="0" fontId="3" fillId="0" borderId="17" xfId="0" applyFont="1" applyFill="1" applyBorder="1"/>
    <xf numFmtId="0" fontId="1" fillId="5" borderId="46" xfId="0" applyFont="1" applyFill="1" applyBorder="1"/>
    <xf numFmtId="0" fontId="0" fillId="0" borderId="19" xfId="0" applyBorder="1"/>
    <xf numFmtId="0" fontId="0" fillId="0" borderId="20" xfId="0" applyBorder="1"/>
    <xf numFmtId="0" fontId="3" fillId="0" borderId="21" xfId="0" applyFont="1" applyFill="1" applyBorder="1"/>
    <xf numFmtId="0" fontId="1" fillId="0" borderId="16" xfId="0" applyFont="1" applyFill="1" applyBorder="1"/>
    <xf numFmtId="0" fontId="1" fillId="0" borderId="32" xfId="0" applyFont="1" applyBorder="1"/>
    <xf numFmtId="0" fontId="0" fillId="9" borderId="0" xfId="0" applyFill="1"/>
    <xf numFmtId="0" fontId="0" fillId="0" borderId="32" xfId="0" applyBorder="1"/>
    <xf numFmtId="0" fontId="1" fillId="0" borderId="33" xfId="0" applyFont="1" applyFill="1" applyBorder="1"/>
    <xf numFmtId="0" fontId="13" fillId="0" borderId="13" xfId="0" applyFont="1" applyFill="1" applyBorder="1"/>
    <xf numFmtId="0" fontId="1" fillId="0" borderId="47" xfId="0" applyFont="1" applyFill="1" applyBorder="1"/>
    <xf numFmtId="0" fontId="14" fillId="0" borderId="48" xfId="0" applyFont="1" applyFill="1" applyBorder="1"/>
    <xf numFmtId="0" fontId="3" fillId="0" borderId="13" xfId="0" applyFont="1" applyFill="1" applyBorder="1"/>
    <xf numFmtId="0" fontId="3" fillId="0" borderId="11" xfId="0" applyFont="1" applyFill="1" applyBorder="1"/>
    <xf numFmtId="0" fontId="46" fillId="0" borderId="0" xfId="0" applyFont="1" applyFill="1" applyBorder="1"/>
    <xf numFmtId="0" fontId="21" fillId="0" borderId="0" xfId="0" applyFont="1" applyFill="1" applyBorder="1"/>
  </cellXfs>
  <cellStyles count="2">
    <cellStyle name="Κανονικό" xfId="0" builtinId="0"/>
    <cellStyle name="Κόμμα" xfId="1" builtinId="3"/>
  </cellStyles>
  <dxfs count="0"/>
  <tableStyles count="0" defaultTableStyle="TableStyleMedium9" defaultPivotStyle="PivotStyleLight16"/>
  <colors>
    <mruColors>
      <color rgb="FF0F2501"/>
      <color rgb="FF0FFFFF"/>
      <color rgb="FF005EA4"/>
      <color rgb="FF0078D2"/>
      <color rgb="FF0072C8"/>
      <color rgb="FF0F253F"/>
      <color rgb="FF0F243F"/>
      <color rgb="FF0F2500"/>
      <color rgb="FF0F0000"/>
      <color rgb="FF5C5C5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C1049"/>
  <sheetViews>
    <sheetView tabSelected="1" topLeftCell="EG82" zoomScale="170" zoomScaleNormal="170" workbookViewId="0">
      <selection activeCell="EL97" sqref="EL97"/>
    </sheetView>
  </sheetViews>
  <sheetFormatPr defaultRowHeight="15"/>
  <cols>
    <col min="1" max="1" width="3.5703125" style="115" customWidth="1"/>
    <col min="2" max="2" width="11.85546875" style="128" customWidth="1"/>
    <col min="3" max="3" width="10.140625" style="128" customWidth="1"/>
    <col min="4" max="4" width="9.140625" style="128"/>
    <col min="5" max="5" width="27" style="128" customWidth="1"/>
    <col min="6" max="6" width="4.28515625" style="128" customWidth="1"/>
    <col min="7" max="7" width="1.42578125" style="395" customWidth="1"/>
    <col min="8" max="8" width="0.85546875" style="5" customWidth="1"/>
    <col min="9" max="9" width="17.5703125" style="37" customWidth="1"/>
    <col min="10" max="10" width="9" style="112" customWidth="1"/>
    <col min="11" max="11" width="9.140625" style="112" customWidth="1"/>
    <col min="12" max="12" width="10.85546875" style="37" customWidth="1"/>
    <col min="13" max="13" width="11.140625" style="37" customWidth="1"/>
    <col min="14" max="14" width="11.42578125" style="37" customWidth="1"/>
    <col min="15" max="15" width="11" style="37" customWidth="1"/>
    <col min="16" max="16" width="10.85546875" style="37" customWidth="1"/>
    <col min="17" max="17" width="11.85546875" style="37" customWidth="1"/>
    <col min="18" max="18" width="19.85546875" style="22" customWidth="1"/>
    <col min="19" max="19" width="19.85546875" style="38" customWidth="1"/>
    <col min="20" max="20" width="0.85546875" style="5" customWidth="1"/>
    <col min="21" max="21" width="1.5703125" style="5" customWidth="1"/>
    <col min="22" max="22" width="4.5703125" style="6" customWidth="1"/>
    <col min="23" max="23" width="6.42578125" style="6" customWidth="1"/>
    <col min="24" max="24" width="42.7109375" style="6" customWidth="1"/>
    <col min="25" max="25" width="9.7109375" style="6" customWidth="1"/>
    <col min="26" max="26" width="3.85546875" style="393" customWidth="1"/>
    <col min="27" max="27" width="2.5703125" style="6" customWidth="1"/>
    <col min="28" max="28" width="3.140625" style="6" customWidth="1"/>
    <col min="29" max="29" width="14" style="6" customWidth="1"/>
    <col min="30" max="33" width="6.42578125" style="6" customWidth="1"/>
    <col min="34" max="34" width="2.140625" style="5" customWidth="1"/>
    <col min="35" max="35" width="10.5703125" style="6" customWidth="1"/>
    <col min="36" max="36" width="9.140625" style="1"/>
    <col min="37" max="37" width="8" style="1" customWidth="1"/>
    <col min="38" max="38" width="5.85546875" style="1" customWidth="1"/>
    <col min="39" max="40" width="3.85546875" style="1" customWidth="1"/>
    <col min="41" max="41" width="1.28515625" style="1" customWidth="1"/>
    <col min="42" max="42" width="34" style="1" customWidth="1"/>
    <col min="43" max="43" width="8.28515625" style="1" customWidth="1"/>
    <col min="44" max="44" width="16.5703125" style="1" customWidth="1"/>
    <col min="45" max="45" width="9.7109375" style="1" customWidth="1"/>
    <col min="46" max="46" width="15" style="1" customWidth="1"/>
    <col min="47" max="47" width="9.5703125" style="1" customWidth="1"/>
    <col min="48" max="55" width="9.140625" style="1"/>
    <col min="56" max="56" width="4.140625" style="1" customWidth="1"/>
    <col min="57" max="57" width="42" style="1" customWidth="1"/>
    <col min="58" max="58" width="15.85546875" style="1" customWidth="1"/>
    <col min="59" max="59" width="11.42578125" style="1" customWidth="1"/>
    <col min="60" max="60" width="9.140625" style="1"/>
    <col min="61" max="61" width="13.28515625" style="1" customWidth="1"/>
    <col min="62" max="63" width="9.140625" style="1"/>
    <col min="64" max="64" width="9.42578125" style="1" customWidth="1"/>
    <col min="65" max="65" width="9.140625" style="1"/>
    <col min="66" max="66" width="2.7109375" style="1" customWidth="1"/>
    <col min="67" max="67" width="2.85546875" style="1" customWidth="1"/>
    <col min="68" max="68" width="8.5703125" style="1" customWidth="1"/>
    <col min="69" max="69" width="15.140625" style="1" customWidth="1"/>
    <col min="70" max="70" width="14.7109375" style="1" customWidth="1"/>
    <col min="71" max="71" width="15" style="1" customWidth="1"/>
    <col min="72" max="72" width="9.140625" style="1"/>
    <col min="73" max="73" width="12.28515625" style="1" customWidth="1"/>
    <col min="74" max="74" width="8.85546875" style="1"/>
    <col min="75" max="75" width="11.28515625" style="1" customWidth="1"/>
    <col min="76" max="76" width="12.7109375" style="1" customWidth="1"/>
    <col min="77" max="77" width="8.85546875" style="1"/>
    <col min="78" max="78" width="22.7109375" style="1" customWidth="1"/>
    <col min="79" max="79" width="14.42578125" style="1" customWidth="1"/>
    <col min="80" max="80" width="15.28515625" style="1" customWidth="1"/>
    <col min="81" max="81" width="8.85546875" style="1"/>
    <col min="82" max="82" width="13.7109375" style="1" customWidth="1"/>
    <col min="83" max="83" width="14" style="1" customWidth="1"/>
    <col min="84" max="87" width="9.140625" style="1"/>
    <col min="88" max="88" width="4.140625" style="1" customWidth="1"/>
    <col min="89" max="89" width="42.7109375" style="1" customWidth="1"/>
    <col min="90" max="90" width="19.85546875" style="1" customWidth="1"/>
    <col min="91" max="91" width="13" style="1" customWidth="1"/>
    <col min="92" max="92" width="40.140625" style="1" customWidth="1"/>
    <col min="93" max="93" width="9.42578125" style="1" customWidth="1"/>
    <col min="94" max="95" width="9.140625" style="1"/>
    <col min="96" max="96" width="3" style="1" customWidth="1"/>
    <col min="97" max="97" width="45.7109375" style="1" customWidth="1"/>
    <col min="98" max="100" width="9.140625" style="1"/>
    <col min="101" max="101" width="2.85546875" style="1" customWidth="1"/>
    <col min="102" max="102" width="9.140625" style="1"/>
    <col min="103" max="103" width="58.7109375" style="1" customWidth="1"/>
    <col min="104" max="106" width="9.140625" style="1"/>
    <col min="107" max="107" width="3.85546875" style="1" customWidth="1"/>
    <col min="108" max="108" width="25.28515625" style="1" customWidth="1"/>
    <col min="109" max="109" width="39.7109375" style="1" customWidth="1"/>
    <col min="110" max="110" width="9.140625" style="1"/>
    <col min="111" max="111" width="45.7109375" style="1" customWidth="1"/>
    <col min="112" max="112" width="9.140625" style="1"/>
    <col min="113" max="113" width="45.85546875" style="1" customWidth="1"/>
    <col min="114" max="114" width="9.140625" style="1"/>
    <col min="115" max="115" width="3.5703125" style="1" customWidth="1"/>
    <col min="116" max="116" width="9.140625" style="1"/>
    <col min="117" max="117" width="3.28515625" style="48" customWidth="1"/>
    <col min="118" max="118" width="27.42578125" style="1" customWidth="1"/>
    <col min="119" max="119" width="27.7109375" style="1" customWidth="1"/>
    <col min="120" max="120" width="18.28515625" style="1" customWidth="1"/>
    <col min="121" max="121" width="20.5703125" style="1" customWidth="1"/>
    <col min="122" max="122" width="9.140625" style="1"/>
    <col min="123" max="123" width="25.28515625" style="1" customWidth="1"/>
    <col min="124" max="124" width="3.7109375" style="1" customWidth="1"/>
    <col min="125" max="125" width="3.140625" style="1" customWidth="1"/>
    <col min="126" max="126" width="3.28515625" style="1" customWidth="1"/>
    <col min="127" max="127" width="45.5703125" style="1" customWidth="1"/>
    <col min="128" max="128" width="15" style="1" customWidth="1"/>
    <col min="129" max="129" width="9.140625" style="1"/>
    <col min="130" max="130" width="4.28515625" style="1" customWidth="1"/>
    <col min="131" max="133" width="9.140625" style="1"/>
    <col min="134" max="134" width="5.140625" style="1" customWidth="1"/>
    <col min="135" max="136" width="9.140625" style="1"/>
    <col min="137" max="137" width="2" style="1" customWidth="1"/>
    <col min="138" max="138" width="1.5703125" style="1" customWidth="1"/>
    <col min="139" max="139" width="29.140625" style="1" customWidth="1"/>
    <col min="140" max="140" width="11.28515625" style="1" customWidth="1"/>
    <col min="141" max="141" width="9.140625" style="1"/>
    <col min="142" max="142" width="5.42578125" style="1" customWidth="1"/>
    <col min="143" max="143" width="9.5703125" style="1" bestFit="1" customWidth="1"/>
    <col min="144" max="144" width="13.85546875" style="1" customWidth="1"/>
    <col min="145" max="145" width="9.85546875" style="1" customWidth="1"/>
    <col min="146" max="147" width="9.140625" style="1"/>
    <col min="148" max="148" width="36.5703125" style="1" customWidth="1"/>
    <col min="149" max="149" width="9.140625" style="1"/>
    <col min="150" max="150" width="4" style="1" customWidth="1"/>
    <col min="151" max="151" width="44.140625" style="1" customWidth="1"/>
    <col min="152" max="152" width="19.28515625" style="1" customWidth="1"/>
    <col min="153" max="157" width="9.140625" style="1"/>
    <col min="158" max="158" width="7.5703125" style="1" customWidth="1"/>
    <col min="159" max="159" width="9.140625" style="1"/>
    <col min="160" max="160" width="10.28515625" style="1" customWidth="1"/>
    <col min="161" max="163" width="9.140625" style="1"/>
    <col min="164" max="164" width="4.28515625" style="1" customWidth="1"/>
    <col min="165" max="166" width="9.140625" style="1"/>
    <col min="167" max="167" width="3.42578125" style="1" customWidth="1"/>
    <col min="168" max="180" width="9.140625" style="1"/>
    <col min="181" max="181" width="3.85546875" style="1" customWidth="1"/>
    <col min="182" max="182" width="18.85546875" style="1" customWidth="1"/>
    <col min="183" max="183" width="19.140625" style="1" customWidth="1"/>
    <col min="184" max="185" width="22.42578125" style="1" customWidth="1"/>
    <col min="186" max="187" width="9.140625" style="1"/>
    <col min="188" max="188" width="25.140625" style="1" customWidth="1"/>
    <col min="189" max="190" width="9.140625" style="1"/>
    <col min="191" max="191" width="36.7109375" style="1" customWidth="1"/>
    <col min="192" max="193" width="9.140625" style="1"/>
    <col min="194" max="194" width="4" style="1" customWidth="1"/>
    <col min="195" max="204" width="9.140625" style="1"/>
    <col min="205" max="205" width="4.5703125" style="1" customWidth="1"/>
    <col min="206" max="207" width="21.42578125" style="1" customWidth="1"/>
    <col min="208" max="208" width="9.140625" style="1"/>
    <col min="209" max="209" width="19.7109375" style="1" customWidth="1"/>
    <col min="210" max="210" width="20" style="1" customWidth="1"/>
    <col min="211" max="211" width="27.42578125" style="1" customWidth="1"/>
    <col min="212" max="214" width="9.140625" style="1"/>
    <col min="215" max="215" width="34.28515625" style="1" customWidth="1"/>
    <col min="216" max="217" width="9.140625" style="1"/>
    <col min="218" max="218" width="4.28515625" style="1" customWidth="1"/>
    <col min="219" max="219" width="4.7109375" style="1" customWidth="1"/>
    <col min="220" max="220" width="9.140625" style="1"/>
    <col min="221" max="221" width="28.140625" style="1" customWidth="1"/>
    <col min="222" max="235" width="9.140625" style="1"/>
    <col min="236" max="236" width="3.85546875" style="1" customWidth="1"/>
    <col min="237" max="237" width="4" style="1" customWidth="1"/>
    <col min="238" max="240" width="9.140625" style="1"/>
    <col min="244" max="244" width="37.5703125" customWidth="1"/>
    <col min="247" max="247" width="3.85546875" customWidth="1"/>
    <col min="248" max="248" width="4.85546875" customWidth="1"/>
    <col min="249" max="249" width="11" bestFit="1" customWidth="1"/>
    <col min="250" max="250" width="36.7109375" customWidth="1"/>
    <col min="263" max="263" width="3.42578125" customWidth="1"/>
    <col min="264" max="264" width="3.5703125" customWidth="1"/>
  </cols>
  <sheetData>
    <row r="1" spans="1:289">
      <c r="A1" s="470"/>
      <c r="B1" s="119"/>
      <c r="C1" s="119"/>
      <c r="D1" s="119"/>
      <c r="E1" s="119"/>
      <c r="F1" s="119"/>
      <c r="G1" s="471"/>
      <c r="H1" s="119"/>
      <c r="I1" s="119"/>
      <c r="J1" s="472"/>
      <c r="K1" s="472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19"/>
      <c r="X1" s="119"/>
      <c r="Y1" s="119"/>
      <c r="Z1" s="143"/>
      <c r="AA1" s="119"/>
      <c r="AB1" s="119"/>
      <c r="AC1" s="119"/>
      <c r="AD1" s="119"/>
      <c r="AE1" s="119"/>
      <c r="AF1" s="119"/>
      <c r="AG1" s="119"/>
      <c r="AH1" s="119"/>
      <c r="AI1" s="260" t="s">
        <v>3602</v>
      </c>
      <c r="AJ1" s="135"/>
      <c r="AK1" s="135"/>
      <c r="AL1" s="135"/>
      <c r="AM1" s="135"/>
      <c r="AN1" s="135"/>
      <c r="AO1" s="135"/>
      <c r="AP1" s="135"/>
      <c r="AQ1" s="135"/>
      <c r="AR1" s="135"/>
      <c r="AS1" s="135"/>
      <c r="AT1" s="135"/>
      <c r="AU1" s="135"/>
      <c r="AV1" s="135"/>
      <c r="AW1" s="135"/>
      <c r="AX1" s="135"/>
      <c r="AY1" s="135"/>
      <c r="AZ1" s="135"/>
      <c r="BA1" s="135"/>
      <c r="BB1" s="135"/>
      <c r="BC1" s="135"/>
      <c r="BD1" s="135"/>
      <c r="BE1" s="135"/>
      <c r="BF1" s="135"/>
      <c r="BG1" s="135"/>
      <c r="BH1" s="135"/>
      <c r="BI1" s="135"/>
      <c r="BJ1" s="135"/>
      <c r="BK1" s="135"/>
      <c r="BL1" s="135"/>
      <c r="BM1" s="135"/>
      <c r="BN1" s="135"/>
      <c r="BO1" s="135"/>
      <c r="BP1" s="135"/>
      <c r="BQ1" s="135"/>
      <c r="BR1" s="135"/>
      <c r="BS1" s="135"/>
      <c r="BT1" s="135"/>
      <c r="BU1" s="135"/>
      <c r="BV1" s="135"/>
      <c r="BW1" s="135"/>
      <c r="BX1" s="135"/>
      <c r="BY1" s="135"/>
      <c r="BZ1" s="135"/>
      <c r="CA1" s="135"/>
      <c r="CB1" s="135"/>
      <c r="CC1" s="135"/>
      <c r="CD1" s="135"/>
      <c r="CE1" s="135"/>
      <c r="CF1" s="135"/>
      <c r="CG1" s="135"/>
      <c r="CH1" s="135"/>
      <c r="CI1" s="135"/>
      <c r="CJ1" s="135"/>
      <c r="CK1" s="135"/>
      <c r="CL1" s="135"/>
      <c r="CM1" s="135"/>
      <c r="CN1" s="135"/>
      <c r="CO1" s="135"/>
      <c r="CP1" s="135"/>
      <c r="CQ1" s="135"/>
      <c r="CR1" s="135"/>
      <c r="CS1" s="135"/>
      <c r="CT1" s="135"/>
      <c r="CU1" s="135"/>
      <c r="CV1" s="135"/>
      <c r="CW1" s="135"/>
      <c r="CX1" s="135"/>
      <c r="CY1" s="135"/>
      <c r="CZ1" s="135"/>
      <c r="DA1" s="135"/>
      <c r="DB1" s="135"/>
      <c r="DC1" s="135"/>
      <c r="DD1" s="135"/>
      <c r="DE1" s="135"/>
      <c r="DF1" s="135"/>
      <c r="DG1" s="135"/>
      <c r="DH1" s="135"/>
      <c r="DI1" s="135"/>
      <c r="DJ1" s="135"/>
      <c r="DK1" s="135"/>
      <c r="DL1" s="135"/>
      <c r="DM1" s="135"/>
      <c r="DN1" s="135"/>
      <c r="DO1" s="135"/>
      <c r="DP1" s="135"/>
      <c r="DQ1" s="135"/>
      <c r="DR1" s="135"/>
      <c r="DS1" s="135"/>
      <c r="DT1" s="135"/>
      <c r="DU1" s="135"/>
      <c r="DV1" s="135"/>
      <c r="DW1" s="135"/>
      <c r="DX1" s="135"/>
      <c r="DY1" s="135"/>
      <c r="DZ1" s="135"/>
      <c r="EA1" s="135"/>
      <c r="EB1" s="135"/>
      <c r="EC1" s="135"/>
      <c r="ED1" s="135"/>
      <c r="EE1" s="135"/>
      <c r="EF1" s="135"/>
      <c r="EG1" s="135"/>
      <c r="EH1" s="135"/>
      <c r="EI1" s="135"/>
      <c r="EJ1" s="135"/>
      <c r="EK1" s="135"/>
      <c r="EL1" s="135"/>
      <c r="EM1" s="135"/>
      <c r="EN1" s="135"/>
      <c r="EO1" s="135"/>
      <c r="EP1" s="135"/>
      <c r="EQ1" s="135"/>
      <c r="ER1" s="135"/>
      <c r="ES1" s="135"/>
      <c r="ET1" s="135"/>
      <c r="EU1" s="135"/>
      <c r="EV1" s="135"/>
      <c r="EW1" s="135"/>
      <c r="EX1" s="135"/>
      <c r="EY1" s="135"/>
      <c r="EZ1" s="135"/>
      <c r="FA1" s="135"/>
      <c r="FB1" s="135"/>
      <c r="FC1" s="135"/>
      <c r="FD1" s="135"/>
      <c r="FE1" s="135"/>
      <c r="FF1" s="135"/>
      <c r="FG1" s="135"/>
      <c r="FH1" s="135"/>
      <c r="FI1" s="135"/>
      <c r="FJ1" s="135"/>
      <c r="FK1" s="135"/>
      <c r="FL1" s="135"/>
      <c r="FM1" s="135"/>
      <c r="FN1" s="135"/>
      <c r="FO1" s="135"/>
      <c r="FP1" s="135"/>
      <c r="FQ1" s="135"/>
      <c r="FR1" s="135"/>
      <c r="FS1" s="135"/>
      <c r="FT1" s="135"/>
      <c r="FU1" s="135"/>
      <c r="FV1" s="135"/>
      <c r="FW1" s="135"/>
      <c r="FX1" s="135"/>
      <c r="FY1" s="135"/>
      <c r="FZ1" s="135"/>
      <c r="GA1" s="135"/>
      <c r="GB1" s="135"/>
      <c r="GC1" s="135"/>
      <c r="GD1" s="135"/>
      <c r="GE1" s="135"/>
      <c r="GF1" s="135"/>
      <c r="GG1" s="135"/>
      <c r="GH1" s="135"/>
      <c r="GI1" s="135"/>
      <c r="GJ1" s="135"/>
      <c r="GK1" s="135"/>
      <c r="GL1" s="135"/>
      <c r="GM1" s="135"/>
      <c r="GN1" s="135"/>
      <c r="GO1" s="135"/>
      <c r="GP1" s="135"/>
      <c r="GQ1" s="135"/>
      <c r="GR1" s="135"/>
      <c r="GS1" s="135"/>
      <c r="GT1" s="135"/>
      <c r="GU1" s="135"/>
      <c r="GV1" s="135"/>
      <c r="GW1" s="135"/>
      <c r="GX1" s="135"/>
      <c r="GY1" s="135"/>
      <c r="GZ1" s="135"/>
      <c r="HA1" s="135"/>
      <c r="HB1" s="135"/>
      <c r="HC1" s="135"/>
      <c r="HD1" s="135"/>
      <c r="HE1" s="135"/>
      <c r="HF1" s="135"/>
      <c r="HG1" s="135"/>
      <c r="HH1" s="135"/>
      <c r="HI1" s="135"/>
      <c r="HJ1" s="135"/>
      <c r="HK1" s="135"/>
      <c r="HL1" s="135"/>
      <c r="HM1" s="135"/>
      <c r="HN1" s="135"/>
      <c r="HO1" s="135"/>
      <c r="HP1" s="135"/>
      <c r="HQ1" s="135"/>
      <c r="HR1" s="135"/>
      <c r="HS1" s="135"/>
      <c r="HT1" s="135"/>
      <c r="HU1" s="135"/>
      <c r="HV1" s="135"/>
      <c r="HW1" s="135"/>
      <c r="HX1" s="135"/>
      <c r="HY1" s="135"/>
      <c r="HZ1" s="135"/>
      <c r="IA1" s="135"/>
      <c r="IB1" s="135"/>
      <c r="IC1" s="135"/>
      <c r="ID1" s="135"/>
      <c r="IE1" s="135"/>
      <c r="IF1" s="135"/>
      <c r="IG1" s="473"/>
      <c r="IH1" s="473"/>
      <c r="II1" s="473"/>
      <c r="IJ1" s="473"/>
      <c r="IK1" s="473"/>
      <c r="IL1" s="473"/>
      <c r="IM1" s="473"/>
      <c r="IN1" s="473"/>
      <c r="IO1" s="473"/>
      <c r="IP1" s="473"/>
      <c r="IQ1" s="473"/>
      <c r="IR1" s="473"/>
      <c r="IS1" s="473"/>
      <c r="IT1" s="473"/>
      <c r="IU1" s="473"/>
      <c r="IV1" s="473"/>
      <c r="IW1" s="473"/>
      <c r="IX1" s="473"/>
      <c r="IY1" s="473"/>
      <c r="IZ1" s="473"/>
      <c r="JA1" s="473"/>
      <c r="JB1" s="473"/>
      <c r="JC1" s="473"/>
      <c r="JD1" s="473"/>
      <c r="JE1" s="473"/>
      <c r="JF1" s="473"/>
      <c r="JG1" s="473"/>
      <c r="JH1" s="473"/>
      <c r="JI1" s="473"/>
      <c r="JJ1" s="473"/>
      <c r="JK1" s="473"/>
      <c r="JL1" s="473"/>
      <c r="JM1" s="473"/>
      <c r="JN1" s="473"/>
      <c r="JO1" s="473"/>
      <c r="JP1" s="473"/>
      <c r="JQ1" s="473"/>
      <c r="JR1" s="473"/>
      <c r="JS1" s="473"/>
      <c r="JT1" s="473"/>
      <c r="JU1" s="473"/>
      <c r="JV1" s="473"/>
      <c r="JW1" s="473"/>
      <c r="JX1" s="473"/>
      <c r="JY1" s="473"/>
      <c r="JZ1" s="473"/>
      <c r="KA1" s="473"/>
      <c r="KB1" s="473"/>
      <c r="KC1" s="473"/>
    </row>
    <row r="2" spans="1:289">
      <c r="A2" s="400" t="s">
        <v>3272</v>
      </c>
      <c r="B2" s="344"/>
      <c r="C2" s="344"/>
      <c r="D2" s="344"/>
      <c r="E2" s="344"/>
      <c r="F2" s="344"/>
      <c r="G2" s="52"/>
      <c r="H2" s="344"/>
      <c r="I2" s="344" t="s">
        <v>3529</v>
      </c>
      <c r="J2" s="394"/>
      <c r="K2" s="394"/>
      <c r="L2" s="344"/>
      <c r="M2" s="344"/>
      <c r="N2" s="344"/>
      <c r="O2" s="344"/>
      <c r="P2" s="344"/>
      <c r="Q2" s="344"/>
      <c r="R2" s="344"/>
      <c r="S2" s="344"/>
      <c r="T2" s="344"/>
      <c r="U2" s="344"/>
      <c r="V2" s="344"/>
      <c r="W2" s="344"/>
      <c r="X2" s="344"/>
      <c r="Y2" s="344"/>
      <c r="Z2" s="114"/>
      <c r="AA2" s="4"/>
      <c r="AB2" s="4"/>
      <c r="AC2" s="4"/>
      <c r="AD2" s="4"/>
      <c r="AE2" s="4"/>
      <c r="AF2" s="4"/>
      <c r="AG2" s="4"/>
      <c r="AH2" s="4"/>
      <c r="AI2" s="4" t="s">
        <v>3205</v>
      </c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8"/>
      <c r="BC2" s="48"/>
      <c r="BD2" s="48"/>
      <c r="BE2" s="48"/>
      <c r="BF2" s="48"/>
      <c r="BG2" s="48"/>
      <c r="BH2" s="48"/>
      <c r="BI2" s="48"/>
      <c r="BJ2" s="48"/>
      <c r="BK2" s="48"/>
      <c r="BL2" s="48"/>
      <c r="BM2" s="48"/>
      <c r="BN2" s="48"/>
      <c r="BO2" s="48"/>
      <c r="BP2" s="48"/>
      <c r="BQ2" s="48"/>
      <c r="BR2" s="48"/>
      <c r="BS2" s="48"/>
      <c r="BT2" s="48"/>
      <c r="BU2" s="48"/>
      <c r="BV2" s="48"/>
      <c r="BW2" s="48"/>
      <c r="BX2" s="48"/>
      <c r="BY2" s="48"/>
      <c r="BZ2" s="48"/>
      <c r="CA2" s="48"/>
      <c r="CB2" s="48"/>
      <c r="CC2" s="48"/>
      <c r="CD2" s="48"/>
      <c r="CE2" s="48"/>
      <c r="CF2" s="48"/>
      <c r="CG2" s="48"/>
      <c r="CH2" s="48"/>
      <c r="CI2" s="48"/>
      <c r="CJ2" s="48"/>
      <c r="CK2" s="48"/>
      <c r="CL2" s="48"/>
      <c r="CM2" s="48"/>
      <c r="CN2" s="48"/>
      <c r="CO2" s="48"/>
      <c r="CP2" s="48"/>
      <c r="CQ2" s="48"/>
      <c r="CR2" s="48"/>
      <c r="CS2" s="48"/>
      <c r="CT2" s="48"/>
      <c r="CU2" s="48"/>
      <c r="CV2" s="48"/>
      <c r="CW2" s="48"/>
      <c r="CX2" s="48"/>
      <c r="CY2" s="48"/>
      <c r="CZ2" s="48"/>
      <c r="DA2" s="48"/>
      <c r="DB2" s="48"/>
      <c r="DC2" s="48"/>
      <c r="DD2" s="48"/>
      <c r="DE2" s="48"/>
      <c r="DF2" s="48"/>
      <c r="DG2" s="48"/>
      <c r="DH2" s="48"/>
      <c r="DI2" s="48"/>
      <c r="DJ2" s="48"/>
      <c r="DK2" s="48"/>
      <c r="DL2" s="48"/>
      <c r="DN2" s="48" t="s">
        <v>3206</v>
      </c>
      <c r="DO2" s="48"/>
      <c r="DP2" s="48"/>
      <c r="DQ2" s="48"/>
      <c r="DR2" s="48"/>
      <c r="DS2" s="48"/>
      <c r="DT2" s="48"/>
      <c r="DU2" s="48"/>
      <c r="DV2" s="48"/>
      <c r="DW2" s="48"/>
      <c r="DX2" s="48"/>
      <c r="DY2" s="48"/>
      <c r="DZ2" s="48"/>
      <c r="EA2" s="48"/>
      <c r="EB2" s="48"/>
      <c r="EC2" s="48"/>
      <c r="ED2" s="135"/>
      <c r="EE2" s="48"/>
      <c r="EF2" s="48"/>
      <c r="EG2" s="48"/>
      <c r="EH2" s="48"/>
      <c r="EI2" s="48"/>
      <c r="EJ2" s="48"/>
      <c r="EK2" s="48"/>
      <c r="EL2" s="48"/>
      <c r="EM2" s="48"/>
      <c r="EN2" s="48"/>
      <c r="EO2" s="48"/>
      <c r="EP2" s="48"/>
      <c r="EQ2" s="48"/>
      <c r="ER2" s="48"/>
      <c r="ES2" s="48"/>
      <c r="ET2" s="48"/>
      <c r="EU2" s="48"/>
      <c r="EV2" s="48"/>
      <c r="EW2" s="48"/>
      <c r="EX2" s="48"/>
      <c r="EY2" s="48"/>
      <c r="EZ2" s="48"/>
      <c r="FA2" s="48"/>
      <c r="FB2" s="48"/>
      <c r="FC2" s="48"/>
      <c r="FD2" s="48"/>
      <c r="FE2" s="48"/>
      <c r="FF2" s="48"/>
      <c r="FG2" s="48"/>
      <c r="FH2" s="48"/>
      <c r="FI2" s="48"/>
      <c r="FJ2" s="48"/>
      <c r="FK2" s="48"/>
      <c r="FL2" s="48"/>
      <c r="FM2" s="48"/>
      <c r="FN2" s="48"/>
      <c r="FO2" s="48"/>
      <c r="FP2" s="48"/>
      <c r="FQ2" s="48"/>
      <c r="FR2" s="48"/>
      <c r="FS2" s="48"/>
      <c r="FT2" s="48"/>
      <c r="FU2" s="48"/>
      <c r="FV2" s="48"/>
      <c r="FW2" s="48"/>
      <c r="FX2" s="48"/>
      <c r="FY2" s="48"/>
      <c r="FZ2" s="48"/>
      <c r="GA2" s="48"/>
      <c r="GB2" s="48"/>
      <c r="GC2" s="48"/>
      <c r="GD2" s="48"/>
      <c r="GE2" s="48"/>
      <c r="GF2" s="48"/>
      <c r="GG2" s="48"/>
      <c r="GH2" s="48"/>
      <c r="GI2" s="48"/>
      <c r="GJ2" s="48"/>
      <c r="GK2" s="48"/>
      <c r="GL2" s="48"/>
      <c r="GM2" s="48"/>
      <c r="GN2" s="48"/>
      <c r="GO2" s="48"/>
      <c r="GP2" s="48"/>
      <c r="GQ2" s="48"/>
      <c r="GR2" s="48"/>
      <c r="GS2" s="48"/>
      <c r="GT2" s="48"/>
      <c r="GU2" s="48"/>
      <c r="GV2" s="48"/>
      <c r="GW2" s="48"/>
      <c r="GX2" s="48"/>
      <c r="GY2" s="48"/>
      <c r="GZ2" s="48"/>
      <c r="HA2" s="48"/>
      <c r="HB2" s="48"/>
      <c r="HC2" s="48"/>
      <c r="HD2" s="48"/>
      <c r="HE2" s="48"/>
      <c r="HF2" s="48"/>
      <c r="HG2" s="48"/>
      <c r="HH2" s="48"/>
      <c r="HI2" s="48"/>
      <c r="HJ2" s="48"/>
      <c r="HK2" s="48"/>
      <c r="HL2" s="48"/>
      <c r="HM2" s="48"/>
      <c r="HN2" s="48"/>
      <c r="HO2" s="48"/>
      <c r="HP2" s="48"/>
      <c r="HQ2" s="48"/>
      <c r="HR2" s="48"/>
      <c r="HS2" s="48"/>
      <c r="HT2" s="48"/>
      <c r="HU2" s="48"/>
      <c r="HV2" s="48"/>
      <c r="HW2" s="48"/>
      <c r="HX2" s="48"/>
      <c r="HY2" s="48"/>
      <c r="HZ2" s="48"/>
      <c r="IA2" s="48"/>
      <c r="IB2" s="48"/>
      <c r="IC2" s="48"/>
      <c r="ID2" s="48"/>
      <c r="IE2" s="48"/>
      <c r="IF2" s="48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  <c r="JH2" s="2"/>
      <c r="JI2" s="2"/>
      <c r="JJ2" s="2"/>
      <c r="JK2" s="2"/>
      <c r="JL2" s="2"/>
      <c r="JM2" s="2"/>
      <c r="JN2" s="2"/>
      <c r="JO2" s="2"/>
      <c r="JP2" s="2"/>
      <c r="JQ2" s="2"/>
      <c r="JR2" s="2"/>
      <c r="JS2" s="2"/>
      <c r="JT2" s="2"/>
      <c r="JU2" s="2"/>
      <c r="JV2" s="2"/>
      <c r="JW2" s="2"/>
      <c r="JX2" s="2"/>
      <c r="JY2" s="2"/>
      <c r="JZ2" s="2"/>
      <c r="KA2" s="2"/>
      <c r="KB2" s="2"/>
      <c r="KC2" s="2"/>
    </row>
    <row r="3" spans="1:289">
      <c r="A3" s="401" t="s">
        <v>3162</v>
      </c>
      <c r="B3" s="4"/>
      <c r="C3" s="4"/>
      <c r="D3" s="4"/>
      <c r="E3" s="4"/>
      <c r="F3" s="4"/>
      <c r="I3" s="8"/>
      <c r="J3" s="152"/>
      <c r="K3" s="153"/>
      <c r="L3" s="9" t="s">
        <v>1</v>
      </c>
      <c r="M3" s="10" t="s">
        <v>2</v>
      </c>
      <c r="N3" s="11" t="s">
        <v>3</v>
      </c>
      <c r="O3" s="12" t="s">
        <v>4</v>
      </c>
      <c r="P3" s="13" t="s">
        <v>5</v>
      </c>
      <c r="Q3" s="14"/>
      <c r="R3" s="15" t="s">
        <v>6</v>
      </c>
      <c r="S3" s="16" t="s">
        <v>6</v>
      </c>
      <c r="T3" s="17"/>
      <c r="V3" s="5"/>
      <c r="W3" s="5"/>
      <c r="X3" s="5"/>
      <c r="Y3" s="5"/>
      <c r="AA3" s="5"/>
      <c r="AB3" s="5"/>
      <c r="AC3" s="5"/>
      <c r="AD3" s="5"/>
      <c r="AE3" s="5"/>
      <c r="AF3" s="5"/>
      <c r="AG3" s="5"/>
      <c r="AI3" s="49" t="s">
        <v>2861</v>
      </c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135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</row>
    <row r="4" spans="1:289">
      <c r="B4" s="136" t="s">
        <v>3269</v>
      </c>
      <c r="C4" s="207" t="s">
        <v>3271</v>
      </c>
      <c r="I4" s="18" t="s">
        <v>7</v>
      </c>
      <c r="J4" s="154" t="s">
        <v>8</v>
      </c>
      <c r="K4" s="154" t="s">
        <v>9</v>
      </c>
      <c r="L4" s="19" t="s">
        <v>10</v>
      </c>
      <c r="M4" s="19" t="s">
        <v>11</v>
      </c>
      <c r="N4" s="19" t="s">
        <v>12</v>
      </c>
      <c r="O4" s="20" t="s">
        <v>13</v>
      </c>
      <c r="P4" s="20" t="s">
        <v>11</v>
      </c>
      <c r="Q4" s="20" t="s">
        <v>12</v>
      </c>
      <c r="R4" s="373" t="s">
        <v>14</v>
      </c>
      <c r="S4" s="373" t="s">
        <v>15</v>
      </c>
      <c r="T4" s="17"/>
      <c r="V4" s="96"/>
      <c r="W4" s="96"/>
      <c r="X4" s="96"/>
      <c r="Y4" s="96"/>
      <c r="AA4" s="96"/>
      <c r="AB4" s="5"/>
      <c r="AC4" s="96"/>
      <c r="AD4" s="96"/>
      <c r="AE4" s="96"/>
      <c r="AF4" s="96"/>
      <c r="AG4" s="96"/>
      <c r="AI4" s="99" t="s">
        <v>2811</v>
      </c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  <c r="AW4" s="97"/>
      <c r="AX4" s="97"/>
      <c r="AY4" s="97"/>
      <c r="AZ4" s="97"/>
      <c r="BA4" s="97"/>
      <c r="BB4" s="97"/>
      <c r="BC4" s="97"/>
      <c r="BD4" s="97"/>
      <c r="BE4" s="97"/>
      <c r="BF4" s="97"/>
      <c r="BG4" s="99" t="s">
        <v>2811</v>
      </c>
      <c r="BH4" s="97"/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97"/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135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7"/>
      <c r="GA4" s="97"/>
      <c r="GB4" s="97"/>
      <c r="GC4" s="97"/>
      <c r="GD4" s="97"/>
      <c r="GE4" s="97"/>
      <c r="GF4" s="97"/>
      <c r="GG4" s="97"/>
      <c r="GH4" s="97"/>
      <c r="GI4" s="97"/>
      <c r="GJ4" s="97"/>
      <c r="GK4" s="97"/>
      <c r="GL4" s="97"/>
      <c r="GM4" s="97"/>
      <c r="GN4" s="97"/>
      <c r="GO4" s="97"/>
      <c r="GP4" s="97"/>
      <c r="GQ4" s="97"/>
      <c r="GR4" s="97"/>
      <c r="GS4" s="97"/>
      <c r="GT4" s="97"/>
      <c r="GU4" s="97"/>
      <c r="GV4" s="97"/>
      <c r="GW4" s="97"/>
      <c r="GX4" s="97"/>
      <c r="GY4" s="97"/>
      <c r="GZ4" s="97"/>
      <c r="HA4" s="97"/>
      <c r="HB4" s="97"/>
      <c r="HC4" s="97"/>
      <c r="HD4" s="97"/>
      <c r="HE4" s="97"/>
      <c r="HF4" s="97"/>
      <c r="HG4" s="97"/>
      <c r="HH4" s="97"/>
      <c r="HI4" s="97"/>
      <c r="HJ4" s="97"/>
      <c r="HK4" s="97"/>
      <c r="HL4" s="97"/>
      <c r="HM4" s="97"/>
      <c r="HN4" s="97"/>
      <c r="HO4" s="97"/>
      <c r="HP4" s="97"/>
      <c r="HQ4" s="97"/>
      <c r="HR4" s="97"/>
      <c r="HS4" s="97"/>
      <c r="HT4" s="97"/>
      <c r="HU4" s="97"/>
      <c r="HV4" s="97"/>
      <c r="HW4" s="97"/>
      <c r="HX4" s="97"/>
      <c r="HY4" s="97"/>
      <c r="HZ4" s="97"/>
      <c r="IA4" s="97"/>
      <c r="IB4" s="97"/>
      <c r="IC4" s="97"/>
      <c r="ID4" s="97"/>
      <c r="IE4" s="97"/>
      <c r="IF4" s="97"/>
      <c r="IG4" s="98"/>
      <c r="IH4" s="98"/>
      <c r="II4" s="98"/>
      <c r="IJ4" s="98"/>
      <c r="IK4" s="98"/>
      <c r="IL4" s="98"/>
      <c r="IM4" s="98"/>
      <c r="IN4" s="98"/>
      <c r="IO4" s="98"/>
      <c r="IP4" s="98"/>
      <c r="IQ4" s="98"/>
      <c r="IR4" s="98"/>
      <c r="IS4" s="98"/>
      <c r="IT4" s="98"/>
      <c r="IU4" s="98"/>
      <c r="IV4" s="98"/>
      <c r="IW4" s="98"/>
      <c r="IX4" s="98"/>
      <c r="IY4" s="98"/>
      <c r="IZ4" s="98"/>
      <c r="JA4" s="98"/>
      <c r="JB4" s="98"/>
      <c r="JC4" s="98"/>
      <c r="JD4" s="98"/>
      <c r="JE4" s="98"/>
      <c r="JF4" s="98"/>
      <c r="JG4" s="98"/>
      <c r="JH4" s="98"/>
      <c r="JI4" s="98"/>
      <c r="JJ4" s="98"/>
      <c r="JK4" s="98"/>
      <c r="JL4" s="98"/>
      <c r="JM4" s="98"/>
      <c r="JN4" s="98"/>
      <c r="JO4" s="98"/>
      <c r="JP4" s="98"/>
      <c r="JQ4" s="98"/>
      <c r="JR4" s="98"/>
      <c r="JS4" s="98"/>
      <c r="JT4" s="98"/>
      <c r="JU4" s="98"/>
      <c r="JV4" s="98"/>
      <c r="JW4" s="98"/>
      <c r="JX4" s="98"/>
      <c r="JY4" s="98"/>
      <c r="JZ4" s="98"/>
      <c r="KA4" s="98"/>
      <c r="KB4" s="98"/>
      <c r="KC4" s="98"/>
    </row>
    <row r="5" spans="1:289">
      <c r="B5" s="136" t="s">
        <v>3270</v>
      </c>
      <c r="C5" s="207" t="s">
        <v>18</v>
      </c>
      <c r="I5" s="57"/>
      <c r="J5" s="467" t="s">
        <v>3248</v>
      </c>
      <c r="K5" s="467" t="s">
        <v>3248</v>
      </c>
      <c r="L5" s="22" t="s">
        <v>16</v>
      </c>
      <c r="M5" s="22" t="s">
        <v>17</v>
      </c>
      <c r="N5" s="22" t="s">
        <v>18</v>
      </c>
      <c r="O5" s="22" t="s">
        <v>16</v>
      </c>
      <c r="P5" s="22" t="s">
        <v>19</v>
      </c>
      <c r="Q5" s="22" t="s">
        <v>18</v>
      </c>
      <c r="R5" s="22" t="s">
        <v>20</v>
      </c>
      <c r="S5" s="23" t="s">
        <v>21</v>
      </c>
      <c r="V5" s="122"/>
      <c r="W5" s="122"/>
      <c r="X5" s="122"/>
      <c r="Y5" s="122"/>
      <c r="AA5" s="122"/>
      <c r="AB5" s="5"/>
      <c r="AC5" s="122"/>
      <c r="AD5" s="122"/>
      <c r="AE5" s="122"/>
      <c r="AF5" s="122"/>
      <c r="AG5" s="122"/>
      <c r="AI5" s="122" t="s">
        <v>2853</v>
      </c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97"/>
      <c r="BE5" s="123"/>
      <c r="BF5" s="123"/>
      <c r="BG5" s="123"/>
      <c r="BH5" s="123"/>
      <c r="BI5" s="123"/>
      <c r="BJ5" s="123"/>
      <c r="BK5" s="123"/>
      <c r="BL5" s="123"/>
      <c r="BM5" s="123"/>
      <c r="BN5" s="97"/>
      <c r="BO5" s="123"/>
      <c r="BP5" s="123"/>
      <c r="BQ5" s="123"/>
      <c r="BR5" s="123"/>
      <c r="BS5" s="123"/>
      <c r="BT5" s="123"/>
      <c r="BU5" s="123"/>
      <c r="BV5" s="123"/>
      <c r="BW5" s="123"/>
      <c r="BX5" s="123"/>
      <c r="BY5" s="123"/>
      <c r="BZ5" s="123"/>
      <c r="CA5" s="123"/>
      <c r="CB5" s="123"/>
      <c r="CC5" s="123"/>
      <c r="CD5" s="123"/>
      <c r="CE5" s="123"/>
      <c r="CF5" s="123"/>
      <c r="CG5" s="123"/>
      <c r="CH5" s="123"/>
      <c r="CI5" s="123"/>
      <c r="CJ5" s="123"/>
      <c r="CK5" s="122" t="s">
        <v>2853</v>
      </c>
      <c r="CL5" s="123"/>
      <c r="CM5" s="123"/>
      <c r="CN5" s="123"/>
      <c r="CO5" s="123"/>
      <c r="CP5" s="123"/>
      <c r="CQ5" s="123"/>
      <c r="CR5" s="123"/>
      <c r="CS5" s="123"/>
      <c r="CT5" s="123"/>
      <c r="CU5" s="123"/>
      <c r="CV5" s="123"/>
      <c r="CW5" s="123"/>
      <c r="CX5" s="123"/>
      <c r="CY5" s="123"/>
      <c r="CZ5" s="123"/>
      <c r="DA5" s="123"/>
      <c r="DB5" s="123"/>
      <c r="DC5" s="123"/>
      <c r="DD5" s="123"/>
      <c r="DE5" s="123"/>
      <c r="DF5" s="123"/>
      <c r="DG5" s="123"/>
      <c r="DH5" s="123"/>
      <c r="DI5" s="123"/>
      <c r="DJ5" s="123"/>
      <c r="DK5" s="123"/>
      <c r="DL5" s="123"/>
      <c r="DN5" s="123"/>
      <c r="DO5" s="123"/>
      <c r="DP5" s="123"/>
      <c r="DQ5" s="123"/>
      <c r="DR5" s="123"/>
      <c r="DS5" s="123"/>
      <c r="DT5" s="123"/>
      <c r="DU5" s="123"/>
      <c r="DV5" s="123"/>
      <c r="DW5" s="123"/>
      <c r="DX5" s="123"/>
      <c r="DY5" s="123"/>
      <c r="DZ5" s="123"/>
      <c r="EA5" s="123"/>
      <c r="EB5" s="123"/>
      <c r="EC5" s="123"/>
      <c r="ED5" s="135"/>
      <c r="EE5" s="123"/>
      <c r="EF5" s="123"/>
      <c r="EG5" s="123"/>
      <c r="EH5" s="123"/>
      <c r="EI5" s="123"/>
      <c r="EJ5" s="123"/>
      <c r="EK5" s="123"/>
      <c r="EL5" s="123"/>
      <c r="EM5" s="123"/>
      <c r="EN5" s="123"/>
      <c r="EO5" s="123"/>
      <c r="EP5" s="123"/>
      <c r="EQ5" s="123"/>
      <c r="ER5" s="123"/>
      <c r="ES5" s="123"/>
      <c r="ET5" s="123"/>
      <c r="EU5" s="123"/>
      <c r="EV5" s="123"/>
      <c r="EW5" s="123"/>
      <c r="EX5" s="123"/>
      <c r="EY5" s="123"/>
      <c r="EZ5" s="123"/>
      <c r="FA5" s="123"/>
      <c r="FB5" s="123"/>
      <c r="FC5" s="123"/>
      <c r="FD5" s="123"/>
      <c r="FE5" s="123"/>
      <c r="FF5" s="123"/>
      <c r="FG5" s="123"/>
      <c r="FH5" s="123"/>
      <c r="FI5" s="123"/>
      <c r="FJ5" s="123"/>
      <c r="FK5" s="123"/>
      <c r="FL5" s="123"/>
      <c r="FM5" s="123"/>
      <c r="FN5" s="123"/>
      <c r="FO5" s="123"/>
      <c r="FP5" s="123"/>
      <c r="FQ5" s="123"/>
      <c r="FR5" s="123"/>
      <c r="FS5" s="123"/>
      <c r="FT5" s="123"/>
      <c r="FU5" s="123"/>
      <c r="FV5" s="123"/>
      <c r="FW5" s="123"/>
      <c r="FX5" s="123"/>
      <c r="FY5" s="123"/>
      <c r="FZ5" s="123"/>
      <c r="GA5" s="123"/>
      <c r="GB5" s="123"/>
      <c r="GC5" s="123"/>
      <c r="GD5" s="123"/>
      <c r="GE5" s="123"/>
      <c r="GF5" s="123"/>
      <c r="GG5" s="123"/>
      <c r="GH5" s="123"/>
      <c r="GI5" s="123"/>
      <c r="GJ5" s="123"/>
      <c r="GK5" s="123"/>
      <c r="GL5" s="123"/>
      <c r="GM5" s="123"/>
      <c r="GN5" s="123"/>
      <c r="GO5" s="123"/>
      <c r="GP5" s="123"/>
      <c r="GQ5" s="123"/>
      <c r="GR5" s="123"/>
      <c r="GS5" s="123"/>
      <c r="GT5" s="123"/>
      <c r="GU5" s="123"/>
      <c r="GV5" s="123"/>
      <c r="GW5" s="123"/>
      <c r="GX5" s="123"/>
      <c r="GY5" s="123"/>
      <c r="GZ5" s="123"/>
      <c r="HA5" s="123"/>
      <c r="HB5" s="123"/>
      <c r="HC5" s="123"/>
      <c r="HD5" s="123"/>
      <c r="HE5" s="123"/>
      <c r="HF5" s="123"/>
      <c r="HG5" s="123"/>
      <c r="HH5" s="123"/>
      <c r="HI5" s="123"/>
      <c r="HJ5" s="123"/>
      <c r="HK5" s="123"/>
      <c r="HL5" s="123"/>
      <c r="HM5" s="123"/>
      <c r="HN5" s="123"/>
      <c r="HO5" s="123"/>
      <c r="HP5" s="123"/>
      <c r="HQ5" s="123"/>
      <c r="HR5" s="123"/>
      <c r="HS5" s="123"/>
      <c r="HT5" s="123"/>
      <c r="HU5" s="123"/>
      <c r="HV5" s="123"/>
      <c r="HW5" s="123"/>
      <c r="HX5" s="123"/>
      <c r="HY5" s="123"/>
      <c r="HZ5" s="123"/>
      <c r="IA5" s="123"/>
      <c r="IB5" s="123"/>
      <c r="IC5" s="123"/>
      <c r="ID5" s="123"/>
      <c r="IE5" s="123"/>
      <c r="IF5" s="123"/>
      <c r="IG5" s="124"/>
      <c r="IH5" s="124"/>
      <c r="II5" s="124"/>
      <c r="IJ5" s="124"/>
      <c r="IK5" s="124"/>
      <c r="IL5" s="124"/>
      <c r="IM5" s="124"/>
      <c r="IN5" s="124"/>
      <c r="IO5" s="124"/>
      <c r="IP5" s="124"/>
      <c r="IQ5" s="124"/>
      <c r="IR5" s="124"/>
      <c r="IS5" s="124"/>
      <c r="IT5" s="124"/>
      <c r="IU5" s="124"/>
      <c r="IV5" s="124"/>
      <c r="IW5" s="124"/>
      <c r="IX5" s="124"/>
      <c r="IY5" s="124"/>
      <c r="IZ5" s="124"/>
      <c r="JA5" s="124"/>
      <c r="JB5" s="124"/>
      <c r="JC5" s="124"/>
      <c r="JD5" s="124"/>
      <c r="JE5" s="124"/>
      <c r="JF5" s="124"/>
      <c r="JG5" s="124"/>
      <c r="JH5" s="124"/>
      <c r="JI5" s="124"/>
      <c r="JJ5" s="124"/>
      <c r="JK5" s="124"/>
      <c r="JL5" s="124"/>
      <c r="JM5" s="124"/>
      <c r="JN5" s="124"/>
      <c r="JO5" s="124"/>
      <c r="JP5" s="124"/>
      <c r="JQ5" s="124"/>
      <c r="JR5" s="124"/>
      <c r="JS5" s="124"/>
      <c r="JT5" s="124"/>
      <c r="JU5" s="124"/>
      <c r="JV5" s="124"/>
      <c r="JW5" s="124"/>
      <c r="JX5" s="124"/>
      <c r="JY5" s="124"/>
      <c r="JZ5" s="124"/>
      <c r="KA5" s="124"/>
      <c r="KB5" s="124"/>
      <c r="KC5" s="124"/>
    </row>
    <row r="6" spans="1:289">
      <c r="B6" s="396" t="s">
        <v>4068</v>
      </c>
      <c r="C6" s="128">
        <v>916</v>
      </c>
      <c r="I6" s="21" t="s">
        <v>22</v>
      </c>
      <c r="J6" s="155" t="s">
        <v>23</v>
      </c>
      <c r="K6" s="155" t="s">
        <v>23</v>
      </c>
      <c r="L6" s="21" t="s">
        <v>3530</v>
      </c>
      <c r="M6" s="21" t="s">
        <v>3531</v>
      </c>
      <c r="N6" s="21" t="s">
        <v>3532</v>
      </c>
      <c r="O6" s="21" t="s">
        <v>3533</v>
      </c>
      <c r="P6" s="21" t="s">
        <v>3534</v>
      </c>
      <c r="Q6" s="21" t="s">
        <v>3535</v>
      </c>
      <c r="R6" s="21" t="s">
        <v>3536</v>
      </c>
      <c r="S6" s="21" t="s">
        <v>3537</v>
      </c>
      <c r="V6" s="137"/>
      <c r="W6" s="137"/>
      <c r="X6" s="137"/>
      <c r="Y6" s="137"/>
      <c r="AA6" s="137"/>
      <c r="AB6" s="5"/>
      <c r="AC6" s="137"/>
      <c r="AD6" s="137"/>
      <c r="AE6" s="137"/>
      <c r="AF6" s="137"/>
      <c r="AG6" s="137"/>
      <c r="AI6" s="137" t="s">
        <v>2860</v>
      </c>
      <c r="AJ6" s="138"/>
      <c r="AK6" s="138"/>
      <c r="AL6" s="138"/>
      <c r="AM6" s="138"/>
      <c r="AN6" s="138"/>
      <c r="AO6" s="138"/>
      <c r="AP6" s="138"/>
      <c r="AQ6" s="138"/>
      <c r="AR6" s="138"/>
      <c r="AS6" s="138"/>
      <c r="AT6" s="138"/>
      <c r="AU6" s="138"/>
      <c r="AV6" s="138"/>
      <c r="AW6" s="138"/>
      <c r="AX6" s="138"/>
      <c r="AY6" s="138"/>
      <c r="AZ6" s="138"/>
      <c r="BA6" s="138"/>
      <c r="BB6" s="138"/>
      <c r="BC6" s="138"/>
      <c r="BD6" s="97"/>
      <c r="BE6" s="138"/>
      <c r="BF6" s="138"/>
      <c r="BG6" s="138"/>
      <c r="BH6" s="138"/>
      <c r="BI6" s="138"/>
      <c r="BJ6" s="138"/>
      <c r="BK6" s="138"/>
      <c r="BL6" s="138"/>
      <c r="BM6" s="138"/>
      <c r="BN6" s="97"/>
      <c r="BO6" s="138"/>
      <c r="BP6" s="138"/>
      <c r="BQ6" s="138"/>
      <c r="BR6" s="138"/>
      <c r="BS6" s="138"/>
      <c r="BT6" s="138"/>
      <c r="BU6" s="138"/>
      <c r="BV6" s="138"/>
      <c r="BW6" s="138"/>
      <c r="BX6" s="138"/>
      <c r="BY6" s="138"/>
      <c r="BZ6" s="138"/>
      <c r="CA6" s="138"/>
      <c r="CB6" s="138"/>
      <c r="CC6" s="138"/>
      <c r="CD6" s="138"/>
      <c r="CE6" s="138"/>
      <c r="CF6" s="138"/>
      <c r="CG6" s="138"/>
      <c r="CH6" s="138"/>
      <c r="CI6" s="138"/>
      <c r="CJ6" s="123"/>
      <c r="CK6" s="138"/>
      <c r="CL6" s="138"/>
      <c r="CM6" s="138"/>
      <c r="CN6" s="138"/>
      <c r="CO6" s="138"/>
      <c r="CP6" s="138"/>
      <c r="CQ6" s="138"/>
      <c r="CR6" s="138"/>
      <c r="CS6" s="138" t="s">
        <v>2860</v>
      </c>
      <c r="CT6" s="138"/>
      <c r="CU6" s="138"/>
      <c r="CV6" s="138"/>
      <c r="CW6" s="138"/>
      <c r="CX6" s="138"/>
      <c r="CY6" s="138"/>
      <c r="CZ6" s="138"/>
      <c r="DA6" s="138"/>
      <c r="DB6" s="138"/>
      <c r="DC6" s="138"/>
      <c r="DD6" s="138"/>
      <c r="DE6" s="138"/>
      <c r="DF6" s="138"/>
      <c r="DG6" s="138"/>
      <c r="DH6" s="138"/>
      <c r="DI6" s="138"/>
      <c r="DJ6" s="138"/>
      <c r="DK6" s="138"/>
      <c r="DL6" s="138"/>
      <c r="DN6" s="138"/>
      <c r="DO6" s="138"/>
      <c r="DP6" s="138"/>
      <c r="DQ6" s="138"/>
      <c r="DR6" s="138"/>
      <c r="DS6" s="138"/>
      <c r="DT6" s="138"/>
      <c r="DU6" s="138"/>
      <c r="DV6" s="138"/>
      <c r="DW6" s="138"/>
      <c r="DX6" s="138"/>
      <c r="DY6" s="138"/>
      <c r="DZ6" s="138"/>
      <c r="EA6" s="138"/>
      <c r="EB6" s="138"/>
      <c r="EC6" s="138"/>
      <c r="ED6" s="135"/>
      <c r="EE6" s="138"/>
      <c r="EF6" s="138"/>
      <c r="EG6" s="138"/>
      <c r="EH6" s="138"/>
      <c r="EI6" s="138"/>
      <c r="EJ6" s="138"/>
      <c r="EK6" s="138"/>
      <c r="EL6" s="138"/>
      <c r="EM6" s="138"/>
      <c r="EN6" s="138"/>
      <c r="EO6" s="138"/>
      <c r="EP6" s="138"/>
      <c r="EQ6" s="138"/>
      <c r="ER6" s="138"/>
      <c r="ES6" s="138"/>
      <c r="ET6" s="138"/>
      <c r="EU6" s="138"/>
      <c r="EV6" s="138"/>
      <c r="EW6" s="138"/>
      <c r="EX6" s="138"/>
      <c r="EY6" s="138"/>
      <c r="EZ6" s="138"/>
      <c r="FA6" s="138"/>
      <c r="FB6" s="138"/>
      <c r="FC6" s="138"/>
      <c r="FD6" s="138"/>
      <c r="FE6" s="138"/>
      <c r="FF6" s="138"/>
      <c r="FG6" s="138"/>
      <c r="FH6" s="138"/>
      <c r="FI6" s="138"/>
      <c r="FJ6" s="138"/>
      <c r="FK6" s="138"/>
      <c r="FL6" s="138"/>
      <c r="FM6" s="138"/>
      <c r="FN6" s="138"/>
      <c r="FO6" s="138"/>
      <c r="FP6" s="138"/>
      <c r="FQ6" s="138"/>
      <c r="FR6" s="138"/>
      <c r="FS6" s="138"/>
      <c r="FT6" s="138"/>
      <c r="FU6" s="138"/>
      <c r="FV6" s="138"/>
      <c r="FW6" s="138"/>
      <c r="FX6" s="138"/>
      <c r="FY6" s="138"/>
      <c r="FZ6" s="138"/>
      <c r="GA6" s="138"/>
      <c r="GB6" s="138"/>
      <c r="GC6" s="138"/>
      <c r="GD6" s="138"/>
      <c r="GE6" s="138"/>
      <c r="GF6" s="138"/>
      <c r="GG6" s="138"/>
      <c r="GH6" s="138"/>
      <c r="GI6" s="138"/>
      <c r="GJ6" s="138"/>
      <c r="GK6" s="138"/>
      <c r="GL6" s="138"/>
      <c r="GM6" s="138"/>
      <c r="GN6" s="138"/>
      <c r="GO6" s="138"/>
      <c r="GP6" s="138"/>
      <c r="GQ6" s="138"/>
      <c r="GR6" s="138"/>
      <c r="GS6" s="138"/>
      <c r="GT6" s="138"/>
      <c r="GU6" s="138"/>
      <c r="GV6" s="138"/>
      <c r="GW6" s="138"/>
      <c r="GX6" s="138"/>
      <c r="GY6" s="138"/>
      <c r="GZ6" s="138"/>
      <c r="HA6" s="138"/>
      <c r="HB6" s="138"/>
      <c r="HC6" s="138"/>
      <c r="HD6" s="138"/>
      <c r="HE6" s="138"/>
      <c r="HF6" s="138"/>
      <c r="HG6" s="138"/>
      <c r="HH6" s="138"/>
      <c r="HI6" s="138"/>
      <c r="HJ6" s="138"/>
      <c r="HK6" s="138"/>
      <c r="HL6" s="138"/>
      <c r="HM6" s="138"/>
      <c r="HN6" s="138"/>
      <c r="HO6" s="138"/>
      <c r="HP6" s="138"/>
      <c r="HQ6" s="138"/>
      <c r="HR6" s="138"/>
      <c r="HS6" s="138"/>
      <c r="HT6" s="138"/>
      <c r="HU6" s="138"/>
      <c r="HV6" s="138"/>
      <c r="HW6" s="138"/>
      <c r="HX6" s="138"/>
      <c r="HY6" s="138"/>
      <c r="HZ6" s="138"/>
      <c r="IA6" s="138"/>
      <c r="IB6" s="138"/>
      <c r="IC6" s="138"/>
      <c r="ID6" s="138"/>
      <c r="IE6" s="138"/>
      <c r="IF6" s="138"/>
      <c r="IG6" s="139"/>
      <c r="IH6" s="139"/>
      <c r="II6" s="139"/>
      <c r="IJ6" s="139"/>
      <c r="IK6" s="139"/>
      <c r="IL6" s="139"/>
      <c r="IM6" s="139"/>
      <c r="IN6" s="139"/>
      <c r="IO6" s="139"/>
      <c r="IP6" s="139"/>
      <c r="IQ6" s="139"/>
      <c r="IR6" s="139"/>
      <c r="IS6" s="139"/>
      <c r="IT6" s="139"/>
      <c r="IU6" s="139"/>
      <c r="IV6" s="139"/>
      <c r="IW6" s="139"/>
      <c r="IX6" s="139"/>
      <c r="IY6" s="139"/>
      <c r="IZ6" s="139"/>
      <c r="JA6" s="139"/>
      <c r="JB6" s="139"/>
      <c r="JC6" s="139"/>
      <c r="JD6" s="139"/>
      <c r="JE6" s="139"/>
      <c r="JF6" s="139"/>
      <c r="JG6" s="139"/>
      <c r="JH6" s="139"/>
      <c r="JI6" s="139"/>
      <c r="JJ6" s="139"/>
      <c r="JK6" s="139"/>
      <c r="JL6" s="139"/>
      <c r="JM6" s="139"/>
      <c r="JN6" s="139"/>
      <c r="JO6" s="139"/>
      <c r="JP6" s="139"/>
      <c r="JQ6" s="139"/>
      <c r="JR6" s="139"/>
      <c r="JS6" s="139"/>
      <c r="JT6" s="139"/>
      <c r="JU6" s="139"/>
      <c r="JV6" s="139"/>
      <c r="JW6" s="139"/>
      <c r="JX6" s="139"/>
      <c r="JY6" s="139"/>
      <c r="JZ6" s="139"/>
      <c r="KA6" s="139"/>
      <c r="KB6" s="139"/>
      <c r="KC6" s="139"/>
    </row>
    <row r="7" spans="1:289">
      <c r="B7" s="396"/>
      <c r="I7" s="22"/>
      <c r="J7" s="156" t="s">
        <v>24</v>
      </c>
      <c r="K7" s="156" t="s">
        <v>24</v>
      </c>
      <c r="L7" s="22">
        <v>5</v>
      </c>
      <c r="M7" s="22">
        <v>46</v>
      </c>
      <c r="N7" s="22">
        <v>9.8000000000000007</v>
      </c>
      <c r="O7" s="22">
        <v>18</v>
      </c>
      <c r="P7" s="22">
        <v>19</v>
      </c>
      <c r="Q7" s="22">
        <v>55</v>
      </c>
      <c r="R7" s="22" t="s">
        <v>25</v>
      </c>
      <c r="S7" s="23" t="s">
        <v>26</v>
      </c>
      <c r="V7" s="136"/>
      <c r="W7" s="136"/>
      <c r="X7" s="136"/>
      <c r="Y7" s="136"/>
      <c r="AA7" s="136"/>
      <c r="AB7" s="5"/>
      <c r="AC7" s="136"/>
      <c r="AD7" s="136"/>
      <c r="AE7" s="136"/>
      <c r="AF7" s="136"/>
      <c r="AG7" s="136"/>
      <c r="AI7" s="136" t="s">
        <v>2891</v>
      </c>
      <c r="AJ7" s="166"/>
      <c r="AK7" s="166"/>
      <c r="AL7" s="166"/>
      <c r="AM7" s="166"/>
      <c r="AN7" s="166"/>
      <c r="AO7" s="166"/>
      <c r="AP7" s="166"/>
      <c r="AQ7" s="166"/>
      <c r="AR7" s="166"/>
      <c r="AS7" s="166"/>
      <c r="AT7" s="166"/>
      <c r="AU7" s="166"/>
      <c r="AV7" s="166"/>
      <c r="AW7" s="166"/>
      <c r="AX7" s="166"/>
      <c r="AY7" s="166"/>
      <c r="AZ7" s="166"/>
      <c r="BA7" s="166"/>
      <c r="BB7" s="166"/>
      <c r="BC7" s="166"/>
      <c r="BD7" s="97"/>
      <c r="BE7" s="166"/>
      <c r="BF7" s="166"/>
      <c r="BG7" s="166"/>
      <c r="BH7" s="166"/>
      <c r="BI7" s="166"/>
      <c r="BJ7" s="166"/>
      <c r="BK7" s="166"/>
      <c r="BL7" s="166"/>
      <c r="BM7" s="166"/>
      <c r="BN7" s="97"/>
      <c r="BO7" s="166"/>
      <c r="BP7" s="166"/>
      <c r="BQ7" s="136" t="s">
        <v>2891</v>
      </c>
      <c r="BR7" s="166"/>
      <c r="BS7" s="166"/>
      <c r="BT7" s="166"/>
      <c r="BU7" s="166"/>
      <c r="BV7" s="166"/>
      <c r="BW7" s="166"/>
      <c r="BX7" s="166"/>
      <c r="BY7" s="166"/>
      <c r="BZ7" s="166"/>
      <c r="CA7" s="166"/>
      <c r="CB7" s="166"/>
      <c r="CC7" s="166"/>
      <c r="CD7" s="166"/>
      <c r="CE7" s="166"/>
      <c r="CF7" s="166"/>
      <c r="CG7" s="166"/>
      <c r="CH7" s="166"/>
      <c r="CI7" s="166"/>
      <c r="CJ7" s="123"/>
      <c r="CK7" s="166"/>
      <c r="CL7" s="166"/>
      <c r="CM7" s="166"/>
      <c r="CN7" s="166"/>
      <c r="CO7" s="166"/>
      <c r="CP7" s="166"/>
      <c r="CQ7" s="166"/>
      <c r="CR7" s="138"/>
      <c r="CS7" s="166"/>
      <c r="CT7" s="166"/>
      <c r="CU7" s="166"/>
      <c r="CV7" s="166"/>
      <c r="CW7" s="166"/>
      <c r="CX7" s="166"/>
      <c r="CY7" s="166"/>
      <c r="CZ7" s="166"/>
      <c r="DA7" s="166"/>
      <c r="DB7" s="166"/>
      <c r="DC7" s="166"/>
      <c r="DD7" s="166"/>
      <c r="DE7" s="166"/>
      <c r="DF7" s="166"/>
      <c r="DG7" s="166"/>
      <c r="DH7" s="166"/>
      <c r="DI7" s="166"/>
      <c r="DJ7" s="166"/>
      <c r="DK7" s="166"/>
      <c r="DL7" s="166"/>
      <c r="DN7" s="166"/>
      <c r="DO7" s="166"/>
      <c r="DP7" s="166"/>
      <c r="DQ7" s="166"/>
      <c r="DR7" s="166"/>
      <c r="DS7" s="166"/>
      <c r="DT7" s="166"/>
      <c r="DU7" s="166"/>
      <c r="DV7" s="166"/>
      <c r="DW7" s="166"/>
      <c r="DX7" s="166"/>
      <c r="DY7" s="166"/>
      <c r="DZ7" s="166"/>
      <c r="EA7" s="166"/>
      <c r="EB7" s="166"/>
      <c r="EC7" s="166"/>
      <c r="ED7" s="135"/>
      <c r="EE7" s="166"/>
      <c r="EF7" s="166"/>
      <c r="EG7" s="166"/>
      <c r="EH7" s="166"/>
      <c r="EI7" s="166"/>
      <c r="EJ7" s="166"/>
      <c r="EK7" s="166"/>
      <c r="EL7" s="166"/>
      <c r="EM7" s="166"/>
      <c r="EN7" s="166"/>
      <c r="EO7" s="166"/>
      <c r="EP7" s="166"/>
      <c r="EQ7" s="166"/>
      <c r="ER7" s="166"/>
      <c r="ES7" s="166"/>
      <c r="ET7" s="166"/>
      <c r="EU7" s="166"/>
      <c r="EV7" s="166"/>
      <c r="EW7" s="166"/>
      <c r="EX7" s="166"/>
      <c r="EY7" s="166"/>
      <c r="EZ7" s="166"/>
      <c r="FA7" s="166"/>
      <c r="FB7" s="166"/>
      <c r="FC7" s="166"/>
      <c r="FD7" s="166"/>
      <c r="FE7" s="166"/>
      <c r="FF7" s="166"/>
      <c r="FG7" s="166"/>
      <c r="FH7" s="166"/>
      <c r="FI7" s="166"/>
      <c r="FJ7" s="166"/>
      <c r="FK7" s="166"/>
      <c r="FL7" s="166"/>
      <c r="FM7" s="166"/>
      <c r="FN7" s="166"/>
      <c r="FO7" s="166"/>
      <c r="FP7" s="166"/>
      <c r="FQ7" s="166"/>
      <c r="FR7" s="166"/>
      <c r="FS7" s="166"/>
      <c r="FT7" s="166"/>
      <c r="FU7" s="166"/>
      <c r="FV7" s="166"/>
      <c r="FW7" s="166"/>
      <c r="FX7" s="166"/>
      <c r="FY7" s="166"/>
      <c r="FZ7" s="166"/>
      <c r="GA7" s="166"/>
      <c r="GB7" s="166"/>
      <c r="GC7" s="166"/>
      <c r="GD7" s="166"/>
      <c r="GE7" s="166"/>
      <c r="GF7" s="166"/>
      <c r="GG7" s="166"/>
      <c r="GH7" s="166"/>
      <c r="GI7" s="166"/>
      <c r="GJ7" s="166"/>
      <c r="GK7" s="166"/>
      <c r="GL7" s="166"/>
      <c r="GM7" s="166"/>
      <c r="GN7" s="166"/>
      <c r="GO7" s="166"/>
      <c r="GP7" s="166"/>
      <c r="GQ7" s="166"/>
      <c r="GR7" s="166"/>
      <c r="GS7" s="166"/>
      <c r="GT7" s="166"/>
      <c r="GU7" s="166"/>
      <c r="GV7" s="166"/>
      <c r="GW7" s="166"/>
      <c r="GX7" s="166"/>
      <c r="GY7" s="166"/>
      <c r="GZ7" s="166"/>
      <c r="HA7" s="166"/>
      <c r="HB7" s="166"/>
      <c r="HC7" s="166"/>
      <c r="HD7" s="166"/>
      <c r="HE7" s="166"/>
      <c r="HF7" s="166"/>
      <c r="HG7" s="166"/>
      <c r="HH7" s="166"/>
      <c r="HI7" s="166"/>
      <c r="HJ7" s="166"/>
      <c r="HK7" s="166"/>
      <c r="HL7" s="166"/>
      <c r="HM7" s="166"/>
      <c r="HN7" s="166"/>
      <c r="HO7" s="166"/>
      <c r="HP7" s="166"/>
      <c r="HQ7" s="166"/>
      <c r="HR7" s="166"/>
      <c r="HS7" s="166"/>
      <c r="HT7" s="166"/>
      <c r="HU7" s="166"/>
      <c r="HV7" s="166"/>
      <c r="HW7" s="166"/>
      <c r="HX7" s="166"/>
      <c r="HY7" s="166"/>
      <c r="HZ7" s="166"/>
      <c r="IA7" s="166"/>
      <c r="IB7" s="166"/>
      <c r="IC7" s="166"/>
      <c r="ID7" s="166"/>
      <c r="IE7" s="166"/>
      <c r="IF7" s="166"/>
      <c r="IG7" s="167"/>
      <c r="IH7" s="167"/>
      <c r="II7" s="167"/>
      <c r="IJ7" s="167"/>
      <c r="IK7" s="167"/>
      <c r="IL7" s="167"/>
      <c r="IM7" s="167"/>
      <c r="IN7" s="167"/>
      <c r="IO7" s="167"/>
      <c r="IP7" s="167"/>
      <c r="IQ7" s="167"/>
      <c r="IR7" s="167"/>
      <c r="IS7" s="167"/>
      <c r="IT7" s="167"/>
      <c r="IU7" s="167"/>
      <c r="IV7" s="167"/>
      <c r="IW7" s="167"/>
      <c r="IX7" s="167"/>
      <c r="IY7" s="167"/>
      <c r="IZ7" s="167"/>
      <c r="JA7" s="167"/>
      <c r="JB7" s="167"/>
      <c r="JC7" s="167"/>
      <c r="JD7" s="167"/>
      <c r="JE7" s="167"/>
      <c r="JF7" s="167"/>
      <c r="JG7" s="167"/>
      <c r="JH7" s="167"/>
      <c r="JI7" s="167"/>
      <c r="JJ7" s="167"/>
      <c r="JK7" s="167"/>
      <c r="JL7" s="167"/>
      <c r="JM7" s="167"/>
      <c r="JN7" s="167"/>
      <c r="JO7" s="167"/>
      <c r="JP7" s="167"/>
      <c r="JQ7" s="167"/>
      <c r="JR7" s="167"/>
      <c r="JS7" s="167"/>
      <c r="JT7" s="167"/>
      <c r="JU7" s="167"/>
      <c r="JV7" s="167"/>
      <c r="JW7" s="167"/>
      <c r="JX7" s="167"/>
      <c r="JY7" s="167"/>
      <c r="JZ7" s="167"/>
      <c r="KA7" s="167"/>
      <c r="KB7" s="167"/>
      <c r="KC7" s="167"/>
    </row>
    <row r="8" spans="1:289">
      <c r="B8" s="396"/>
      <c r="I8" s="22"/>
      <c r="J8" s="156" t="s">
        <v>27</v>
      </c>
      <c r="K8" s="156" t="s">
        <v>27</v>
      </c>
      <c r="L8" s="22">
        <v>21</v>
      </c>
      <c r="M8" s="22">
        <v>5</v>
      </c>
      <c r="N8" s="22">
        <v>32</v>
      </c>
      <c r="O8" s="22">
        <v>-4</v>
      </c>
      <c r="P8" s="22">
        <v>-21</v>
      </c>
      <c r="Q8" s="22">
        <v>-43</v>
      </c>
      <c r="S8" s="23"/>
      <c r="V8" s="169"/>
      <c r="W8" s="169"/>
      <c r="X8" s="169"/>
      <c r="Y8" s="169"/>
      <c r="AA8" s="169"/>
      <c r="AB8" s="5"/>
      <c r="AC8" s="169"/>
      <c r="AD8" s="169"/>
      <c r="AE8" s="169"/>
      <c r="AF8" s="169"/>
      <c r="AG8" s="169"/>
      <c r="AI8" s="169" t="s">
        <v>2857</v>
      </c>
      <c r="AJ8" s="170"/>
      <c r="AK8" s="170"/>
      <c r="AL8" s="170"/>
      <c r="AM8" s="170"/>
      <c r="AN8" s="170"/>
      <c r="AO8" s="170"/>
      <c r="AP8" s="170"/>
      <c r="AQ8" s="170"/>
      <c r="AR8" s="170"/>
      <c r="AS8" s="170"/>
      <c r="AT8" s="170"/>
      <c r="AU8" s="170"/>
      <c r="AV8" s="170"/>
      <c r="AW8" s="170"/>
      <c r="AX8" s="170"/>
      <c r="AY8" s="170"/>
      <c r="AZ8" s="170"/>
      <c r="BA8" s="170"/>
      <c r="BB8" s="170"/>
      <c r="BC8" s="170"/>
      <c r="BD8" s="97"/>
      <c r="BE8" s="169"/>
      <c r="BF8" s="169"/>
      <c r="BG8" s="169"/>
      <c r="BH8" s="169"/>
      <c r="BI8" s="169"/>
      <c r="BJ8" s="169"/>
      <c r="BK8" s="169"/>
      <c r="BL8" s="170"/>
      <c r="BM8" s="170"/>
      <c r="BN8" s="97"/>
      <c r="BO8" s="166"/>
      <c r="BP8" s="170"/>
      <c r="BQ8" s="170"/>
      <c r="BR8" s="170"/>
      <c r="BS8" s="170"/>
      <c r="BT8" s="170"/>
      <c r="BU8" s="170"/>
      <c r="BV8" s="170"/>
      <c r="BW8" s="170"/>
      <c r="BX8" s="170"/>
      <c r="BY8" s="170"/>
      <c r="BZ8" s="170"/>
      <c r="CA8" s="170"/>
      <c r="CB8" s="170"/>
      <c r="CC8" s="170"/>
      <c r="CD8" s="170"/>
      <c r="CE8" s="170"/>
      <c r="CF8" s="170"/>
      <c r="CG8" s="170"/>
      <c r="CH8" s="170"/>
      <c r="CI8" s="170"/>
      <c r="CJ8" s="123"/>
      <c r="CK8" s="170"/>
      <c r="CL8" s="170"/>
      <c r="CM8" s="170"/>
      <c r="CN8" s="170"/>
      <c r="CO8" s="170"/>
      <c r="CP8" s="170"/>
      <c r="CQ8" s="170"/>
      <c r="CR8" s="138"/>
      <c r="CS8" s="170"/>
      <c r="CT8" s="170"/>
      <c r="CU8" s="170"/>
      <c r="CV8" s="170"/>
      <c r="CW8" s="170"/>
      <c r="CX8" s="169" t="s">
        <v>2857</v>
      </c>
      <c r="CY8" s="170"/>
      <c r="CZ8" s="170"/>
      <c r="DA8" s="170"/>
      <c r="DB8" s="170"/>
      <c r="DC8" s="170"/>
      <c r="DD8" s="170"/>
      <c r="DE8" s="170"/>
      <c r="DF8" s="170"/>
      <c r="DG8" s="170"/>
      <c r="DH8" s="170"/>
      <c r="DI8" s="170"/>
      <c r="DJ8" s="170"/>
      <c r="DK8" s="170"/>
      <c r="DL8" s="170"/>
      <c r="DN8" s="170"/>
      <c r="DO8" s="170"/>
      <c r="DP8" s="170"/>
      <c r="DQ8" s="170"/>
      <c r="DR8" s="170"/>
      <c r="DS8" s="170"/>
      <c r="DT8" s="170"/>
      <c r="DU8" s="170"/>
      <c r="DV8" s="170"/>
      <c r="DW8" s="170"/>
      <c r="DX8" s="170"/>
      <c r="DY8" s="170"/>
      <c r="DZ8" s="170"/>
      <c r="EA8" s="170"/>
      <c r="EB8" s="170"/>
      <c r="EC8" s="170"/>
      <c r="ED8" s="135"/>
      <c r="EE8" s="170"/>
      <c r="EF8" s="170"/>
      <c r="EG8" s="170"/>
      <c r="EH8" s="170"/>
      <c r="EI8" s="170"/>
      <c r="EJ8" s="170"/>
      <c r="EK8" s="170"/>
      <c r="EL8" s="170"/>
      <c r="EM8" s="170"/>
      <c r="EN8" s="170"/>
      <c r="EO8" s="170"/>
      <c r="EP8" s="170"/>
      <c r="EQ8" s="170"/>
      <c r="ER8" s="170"/>
      <c r="ES8" s="170"/>
      <c r="ET8" s="170"/>
      <c r="EU8" s="170"/>
      <c r="EV8" s="170"/>
      <c r="EW8" s="170"/>
      <c r="EX8" s="170"/>
      <c r="EY8" s="170"/>
      <c r="EZ8" s="170"/>
      <c r="FA8" s="170"/>
      <c r="FB8" s="170"/>
      <c r="FC8" s="170"/>
      <c r="FD8" s="170"/>
      <c r="FE8" s="170"/>
      <c r="FF8" s="170"/>
      <c r="FG8" s="170"/>
      <c r="FH8" s="170"/>
      <c r="FI8" s="170"/>
      <c r="FJ8" s="170"/>
      <c r="FK8" s="170"/>
      <c r="FL8" s="170"/>
      <c r="FM8" s="170"/>
      <c r="FN8" s="170"/>
      <c r="FO8" s="170"/>
      <c r="FP8" s="170"/>
      <c r="FQ8" s="170"/>
      <c r="FR8" s="170"/>
      <c r="FS8" s="170"/>
      <c r="FT8" s="170"/>
      <c r="FU8" s="170"/>
      <c r="FV8" s="170"/>
      <c r="FW8" s="170"/>
      <c r="FX8" s="170"/>
      <c r="FY8" s="170"/>
      <c r="FZ8" s="170"/>
      <c r="GA8" s="170"/>
      <c r="GB8" s="170"/>
      <c r="GC8" s="170"/>
      <c r="GD8" s="170"/>
      <c r="GE8" s="170"/>
      <c r="GF8" s="170"/>
      <c r="GG8" s="170"/>
      <c r="GH8" s="170"/>
      <c r="GI8" s="170"/>
      <c r="GJ8" s="170"/>
      <c r="GK8" s="170"/>
      <c r="GL8" s="170"/>
      <c r="GM8" s="170"/>
      <c r="GN8" s="170"/>
      <c r="GO8" s="170"/>
      <c r="GP8" s="170"/>
      <c r="GQ8" s="170"/>
      <c r="GR8" s="170"/>
      <c r="GS8" s="170"/>
      <c r="GT8" s="170"/>
      <c r="GU8" s="170"/>
      <c r="GV8" s="170"/>
      <c r="GW8" s="170"/>
      <c r="GX8" s="170"/>
      <c r="GY8" s="170"/>
      <c r="GZ8" s="170"/>
      <c r="HA8" s="170"/>
      <c r="HB8" s="170"/>
      <c r="HC8" s="170"/>
      <c r="HD8" s="170"/>
      <c r="HE8" s="170"/>
      <c r="HF8" s="170"/>
      <c r="HG8" s="170"/>
      <c r="HH8" s="170"/>
      <c r="HI8" s="170"/>
      <c r="HJ8" s="170"/>
      <c r="HK8" s="170"/>
      <c r="HL8" s="170"/>
      <c r="HM8" s="170"/>
      <c r="HN8" s="170"/>
      <c r="HO8" s="170"/>
      <c r="HP8" s="170"/>
      <c r="HQ8" s="170"/>
      <c r="HR8" s="170"/>
      <c r="HS8" s="170"/>
      <c r="HT8" s="170"/>
      <c r="HU8" s="170"/>
      <c r="HV8" s="170"/>
      <c r="HW8" s="170"/>
      <c r="HX8" s="170"/>
      <c r="HY8" s="170"/>
      <c r="HZ8" s="170"/>
      <c r="IA8" s="170"/>
      <c r="IB8" s="170"/>
      <c r="IC8" s="170"/>
      <c r="ID8" s="170"/>
      <c r="IE8" s="170"/>
      <c r="IF8" s="170"/>
      <c r="IG8" s="171"/>
      <c r="IH8" s="171"/>
      <c r="II8" s="171"/>
      <c r="IJ8" s="171"/>
      <c r="IK8" s="171"/>
      <c r="IL8" s="171"/>
      <c r="IM8" s="171"/>
      <c r="IN8" s="171"/>
      <c r="IO8" s="171"/>
      <c r="IP8" s="171"/>
      <c r="IQ8" s="171"/>
      <c r="IR8" s="171"/>
      <c r="IS8" s="171"/>
      <c r="IT8" s="171"/>
      <c r="IU8" s="171"/>
      <c r="IV8" s="171"/>
      <c r="IW8" s="171"/>
      <c r="IX8" s="171"/>
      <c r="IY8" s="171"/>
      <c r="IZ8" s="171"/>
      <c r="JA8" s="171"/>
      <c r="JB8" s="171"/>
      <c r="JC8" s="171"/>
      <c r="JD8" s="171"/>
      <c r="JE8" s="171"/>
      <c r="JF8" s="171"/>
      <c r="JG8" s="171"/>
      <c r="JH8" s="171"/>
      <c r="JI8" s="171"/>
      <c r="JJ8" s="171"/>
      <c r="JK8" s="171"/>
      <c r="JL8" s="171"/>
      <c r="JM8" s="171"/>
      <c r="JN8" s="171"/>
      <c r="JO8" s="171"/>
      <c r="JP8" s="171"/>
      <c r="JQ8" s="171"/>
      <c r="JR8" s="171"/>
      <c r="JS8" s="171"/>
      <c r="JT8" s="171"/>
      <c r="JU8" s="171"/>
      <c r="JV8" s="171"/>
      <c r="JW8" s="171"/>
      <c r="JX8" s="171"/>
      <c r="JY8" s="171"/>
      <c r="JZ8" s="171"/>
      <c r="KA8" s="171"/>
      <c r="KB8" s="171"/>
      <c r="KC8" s="171"/>
    </row>
    <row r="9" spans="1:289">
      <c r="B9" s="396"/>
      <c r="I9" s="22"/>
      <c r="J9" s="156" t="s">
        <v>28</v>
      </c>
      <c r="K9" s="156" t="s">
        <v>28</v>
      </c>
      <c r="L9" s="22" t="s">
        <v>29</v>
      </c>
      <c r="M9" s="22" t="s">
        <v>30</v>
      </c>
      <c r="N9" s="22" t="s">
        <v>29</v>
      </c>
      <c r="O9" s="22" t="s">
        <v>30</v>
      </c>
      <c r="P9" s="22" t="s">
        <v>29</v>
      </c>
      <c r="Q9" s="22" t="s">
        <v>30</v>
      </c>
      <c r="R9" s="22" t="s">
        <v>29</v>
      </c>
      <c r="S9" s="22" t="s">
        <v>30</v>
      </c>
      <c r="V9" s="181"/>
      <c r="W9" s="181"/>
      <c r="X9" s="181"/>
      <c r="Y9" s="181"/>
      <c r="AA9" s="181"/>
      <c r="AB9" s="5"/>
      <c r="AC9" s="181"/>
      <c r="AD9" s="181"/>
      <c r="AE9" s="181"/>
      <c r="AF9" s="181"/>
      <c r="AG9" s="181"/>
      <c r="AI9" s="186" t="s">
        <v>2930</v>
      </c>
      <c r="AJ9" s="181"/>
      <c r="AK9" s="181"/>
      <c r="AL9" s="181"/>
      <c r="AM9" s="181"/>
      <c r="AN9" s="185"/>
      <c r="AO9" s="185"/>
      <c r="AP9" s="185"/>
      <c r="AQ9" s="185"/>
      <c r="AR9" s="185"/>
      <c r="AS9" s="185"/>
      <c r="AT9" s="185"/>
      <c r="AU9" s="185"/>
      <c r="AV9" s="185"/>
      <c r="AW9" s="181"/>
      <c r="AX9" s="181"/>
      <c r="AY9" s="181"/>
      <c r="AZ9" s="181"/>
      <c r="BA9" s="181"/>
      <c r="BB9" s="181"/>
      <c r="BC9" s="181"/>
      <c r="BD9" s="97"/>
      <c r="BE9" s="183"/>
      <c r="BF9" s="182"/>
      <c r="BG9" s="182"/>
      <c r="BH9" s="182"/>
      <c r="BI9" s="182"/>
      <c r="BJ9" s="182"/>
      <c r="BK9" s="182"/>
      <c r="BL9" s="182"/>
      <c r="BM9" s="182"/>
      <c r="BN9" s="97"/>
      <c r="BO9" s="166"/>
      <c r="BP9" s="182"/>
      <c r="BQ9" s="182"/>
      <c r="BR9" s="182"/>
      <c r="BS9" s="182"/>
      <c r="BT9" s="182"/>
      <c r="BU9" s="182"/>
      <c r="BV9" s="182"/>
      <c r="BW9" s="182"/>
      <c r="BX9" s="182"/>
      <c r="BY9" s="182"/>
      <c r="BZ9" s="182"/>
      <c r="CA9" s="182"/>
      <c r="CB9" s="182"/>
      <c r="CC9" s="182"/>
      <c r="CD9" s="182"/>
      <c r="CE9" s="182"/>
      <c r="CF9" s="182"/>
      <c r="CG9" s="182"/>
      <c r="CH9" s="182"/>
      <c r="CI9" s="182"/>
      <c r="CJ9" s="123"/>
      <c r="CK9" s="182"/>
      <c r="CL9" s="182"/>
      <c r="CM9" s="182"/>
      <c r="CN9" s="182"/>
      <c r="CO9" s="182"/>
      <c r="CP9" s="182"/>
      <c r="CQ9" s="182"/>
      <c r="CR9" s="138"/>
      <c r="CS9" s="182"/>
      <c r="CT9" s="182"/>
      <c r="CU9" s="182"/>
      <c r="CV9" s="182"/>
      <c r="CW9" s="170"/>
      <c r="CX9" s="182"/>
      <c r="CY9" s="182"/>
      <c r="CZ9" s="182"/>
      <c r="DA9" s="182"/>
      <c r="DB9" s="182"/>
      <c r="DC9" s="182"/>
      <c r="DD9" s="186" t="s">
        <v>2930</v>
      </c>
      <c r="DE9" s="182"/>
      <c r="DF9" s="182"/>
      <c r="DG9" s="182"/>
      <c r="DH9" s="182"/>
      <c r="DI9" s="182"/>
      <c r="DJ9" s="182"/>
      <c r="DK9" s="182"/>
      <c r="DL9" s="182"/>
      <c r="DN9" s="182"/>
      <c r="DO9" s="182"/>
      <c r="DP9" s="182"/>
      <c r="DQ9" s="182"/>
      <c r="DR9" s="182"/>
      <c r="DS9" s="182"/>
      <c r="DT9" s="182"/>
      <c r="DU9" s="182"/>
      <c r="DV9" s="182"/>
      <c r="DW9" s="182"/>
      <c r="DX9" s="182"/>
      <c r="DY9" s="182"/>
      <c r="DZ9" s="182"/>
      <c r="EA9" s="182"/>
      <c r="EB9" s="182"/>
      <c r="EC9" s="182"/>
      <c r="ED9" s="135"/>
      <c r="EE9" s="182"/>
      <c r="EF9" s="182"/>
      <c r="EG9" s="182"/>
      <c r="EH9" s="182"/>
      <c r="EI9" s="182"/>
      <c r="EJ9" s="182"/>
      <c r="EK9" s="182"/>
      <c r="EL9" s="182"/>
      <c r="EM9" s="182"/>
      <c r="EN9" s="182"/>
      <c r="EO9" s="182"/>
      <c r="EP9" s="182"/>
      <c r="EQ9" s="182"/>
      <c r="ER9" s="182"/>
      <c r="ES9" s="182"/>
      <c r="ET9" s="182"/>
      <c r="EU9" s="182"/>
      <c r="EV9" s="182"/>
      <c r="EW9" s="182"/>
      <c r="EX9" s="182"/>
      <c r="EY9" s="182"/>
      <c r="EZ9" s="182"/>
      <c r="FA9" s="182"/>
      <c r="FB9" s="182"/>
      <c r="FC9" s="182"/>
      <c r="FD9" s="182"/>
      <c r="FE9" s="182"/>
      <c r="FF9" s="182"/>
      <c r="FG9" s="182"/>
      <c r="FH9" s="182"/>
      <c r="FI9" s="182"/>
      <c r="FJ9" s="182"/>
      <c r="FK9" s="182"/>
      <c r="FL9" s="182"/>
      <c r="FM9" s="182"/>
      <c r="FN9" s="182"/>
      <c r="FO9" s="182"/>
      <c r="FP9" s="182"/>
      <c r="FQ9" s="182"/>
      <c r="FR9" s="182"/>
      <c r="FS9" s="182"/>
      <c r="FT9" s="182"/>
      <c r="FU9" s="182"/>
      <c r="FV9" s="182"/>
      <c r="FW9" s="182"/>
      <c r="FX9" s="182"/>
      <c r="FY9" s="182"/>
      <c r="FZ9" s="182"/>
      <c r="GA9" s="182"/>
      <c r="GB9" s="182"/>
      <c r="GC9" s="182"/>
      <c r="GD9" s="182"/>
      <c r="GE9" s="182"/>
      <c r="GF9" s="182"/>
      <c r="GG9" s="182"/>
      <c r="GH9" s="182"/>
      <c r="GI9" s="182"/>
      <c r="GJ9" s="182"/>
      <c r="GK9" s="182"/>
      <c r="GL9" s="182"/>
      <c r="GM9" s="182"/>
      <c r="GN9" s="182"/>
      <c r="GO9" s="182"/>
      <c r="GP9" s="182"/>
      <c r="GQ9" s="182"/>
      <c r="GR9" s="182"/>
      <c r="GS9" s="182"/>
      <c r="GT9" s="182"/>
      <c r="GU9" s="182"/>
      <c r="GV9" s="182"/>
      <c r="GW9" s="182"/>
      <c r="GX9" s="182"/>
      <c r="GY9" s="182"/>
      <c r="GZ9" s="182"/>
      <c r="HA9" s="182"/>
      <c r="HB9" s="182"/>
      <c r="HC9" s="182"/>
      <c r="HD9" s="182"/>
      <c r="HE9" s="182"/>
      <c r="HF9" s="182"/>
      <c r="HG9" s="182"/>
      <c r="HH9" s="182"/>
      <c r="HI9" s="182"/>
      <c r="HJ9" s="182"/>
      <c r="HK9" s="182"/>
      <c r="HL9" s="182"/>
      <c r="HM9" s="182"/>
      <c r="HN9" s="182"/>
      <c r="HO9" s="182"/>
      <c r="HP9" s="182"/>
      <c r="HQ9" s="182"/>
      <c r="HR9" s="182"/>
      <c r="HS9" s="182"/>
      <c r="HT9" s="182"/>
      <c r="HU9" s="182"/>
      <c r="HV9" s="182"/>
      <c r="HW9" s="182"/>
      <c r="HX9" s="182"/>
      <c r="HY9" s="182"/>
      <c r="HZ9" s="182"/>
      <c r="IA9" s="182"/>
      <c r="IB9" s="182"/>
      <c r="IC9" s="182"/>
      <c r="ID9" s="182"/>
      <c r="IE9" s="182"/>
      <c r="IF9" s="182"/>
      <c r="IG9" s="184"/>
      <c r="IH9" s="184"/>
      <c r="II9" s="184"/>
      <c r="IJ9" s="184"/>
      <c r="IK9" s="184"/>
      <c r="IL9" s="184"/>
      <c r="IM9" s="184"/>
      <c r="IN9" s="184"/>
      <c r="IO9" s="184"/>
      <c r="IP9" s="184"/>
      <c r="IQ9" s="184"/>
      <c r="IR9" s="184"/>
      <c r="IS9" s="184"/>
      <c r="IT9" s="184"/>
      <c r="IU9" s="184"/>
      <c r="IV9" s="184"/>
      <c r="IW9" s="184"/>
      <c r="IX9" s="184"/>
      <c r="IY9" s="184"/>
      <c r="IZ9" s="184"/>
      <c r="JA9" s="184"/>
      <c r="JB9" s="184"/>
      <c r="JC9" s="184"/>
      <c r="JD9" s="184"/>
      <c r="JE9" s="184"/>
      <c r="JF9" s="184"/>
      <c r="JG9" s="184"/>
      <c r="JH9" s="184"/>
      <c r="JI9" s="184"/>
      <c r="JJ9" s="184"/>
      <c r="JK9" s="184"/>
      <c r="JL9" s="184"/>
      <c r="JM9" s="184"/>
      <c r="JN9" s="184"/>
      <c r="JO9" s="184"/>
      <c r="JP9" s="184"/>
      <c r="JQ9" s="184"/>
      <c r="JR9" s="184"/>
      <c r="JS9" s="184"/>
      <c r="JT9" s="184"/>
      <c r="JU9" s="184"/>
      <c r="JV9" s="184"/>
      <c r="JW9" s="184"/>
      <c r="JX9" s="184"/>
      <c r="JY9" s="184"/>
      <c r="JZ9" s="184"/>
      <c r="KA9" s="184"/>
      <c r="KB9" s="184"/>
      <c r="KC9" s="184"/>
    </row>
    <row r="10" spans="1:289">
      <c r="B10" s="396"/>
      <c r="I10" s="22"/>
      <c r="J10" s="156" t="s">
        <v>31</v>
      </c>
      <c r="K10" s="156" t="s">
        <v>31</v>
      </c>
      <c r="L10" s="22" t="s">
        <v>29</v>
      </c>
      <c r="M10" s="22" t="s">
        <v>30</v>
      </c>
      <c r="N10" s="22" t="s">
        <v>29</v>
      </c>
      <c r="O10" s="22" t="s">
        <v>30</v>
      </c>
      <c r="P10" s="22" t="s">
        <v>29</v>
      </c>
      <c r="Q10" s="22" t="s">
        <v>30</v>
      </c>
      <c r="R10" s="22" t="s">
        <v>29</v>
      </c>
      <c r="S10" s="22" t="s">
        <v>30</v>
      </c>
      <c r="AB10" s="5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3"/>
      <c r="AX10" s="63"/>
      <c r="AY10" s="63"/>
      <c r="AZ10" s="63"/>
      <c r="BA10" s="63"/>
      <c r="BB10" s="63"/>
      <c r="BC10" s="63"/>
      <c r="BD10" s="97"/>
      <c r="BE10" s="202"/>
      <c r="BF10" s="175"/>
      <c r="BG10" s="175"/>
      <c r="BH10" s="175"/>
      <c r="BI10" s="175"/>
      <c r="BJ10" s="175"/>
      <c r="BK10" s="175"/>
      <c r="BL10" s="175"/>
      <c r="BM10" s="175"/>
      <c r="BN10" s="97"/>
      <c r="BO10" s="166"/>
      <c r="BP10" s="175"/>
      <c r="CJ10" s="123"/>
      <c r="CR10" s="138"/>
      <c r="CW10" s="170"/>
      <c r="DC10" s="182"/>
      <c r="DD10" s="182"/>
      <c r="DE10" s="182"/>
      <c r="DF10" s="182"/>
      <c r="DG10" s="182"/>
      <c r="DH10" s="182"/>
      <c r="DI10" s="182"/>
      <c r="DJ10" s="182"/>
      <c r="DK10" s="182"/>
      <c r="DM10" s="2"/>
      <c r="DN10" s="48" t="s">
        <v>3206</v>
      </c>
      <c r="DO10" s="48"/>
      <c r="DP10" s="48"/>
      <c r="DQ10" s="48"/>
      <c r="DR10" s="48"/>
      <c r="DS10" s="48"/>
      <c r="DT10" s="48"/>
      <c r="DU10" s="48"/>
      <c r="DV10" s="48"/>
      <c r="DW10" s="414" t="s">
        <v>3276</v>
      </c>
      <c r="DX10" s="48"/>
      <c r="DY10" s="48"/>
      <c r="DZ10" s="48"/>
      <c r="ED10" s="260" t="s">
        <v>3602</v>
      </c>
      <c r="EE10" s="135"/>
      <c r="EF10" s="135"/>
      <c r="EG10" s="135"/>
      <c r="EH10" s="135"/>
      <c r="EI10" s="135"/>
      <c r="EJ10" s="135"/>
      <c r="EK10" s="135"/>
      <c r="EL10" s="135"/>
      <c r="EM10" s="135"/>
      <c r="EN10" s="135"/>
      <c r="EO10" s="135"/>
      <c r="EP10" s="135"/>
      <c r="EQ10" s="135"/>
      <c r="ER10" s="135"/>
      <c r="ES10" s="135"/>
      <c r="ET10" s="135"/>
      <c r="EU10" s="135"/>
      <c r="EV10" s="135"/>
      <c r="EW10" s="135"/>
      <c r="EX10" s="135"/>
      <c r="EY10" s="135"/>
      <c r="EZ10" s="135"/>
      <c r="FA10" s="135"/>
      <c r="FB10" s="135"/>
      <c r="FC10" s="135"/>
      <c r="FD10" s="135"/>
      <c r="FE10" s="135"/>
      <c r="FF10" s="135"/>
      <c r="FG10" s="135"/>
      <c r="FH10" s="135"/>
      <c r="FI10" s="135"/>
      <c r="FJ10" s="135"/>
      <c r="FK10" s="135"/>
      <c r="FL10" s="242" t="s">
        <v>3614</v>
      </c>
      <c r="FM10" s="135"/>
      <c r="FN10" s="135"/>
      <c r="FO10" s="135"/>
      <c r="FP10" s="135"/>
      <c r="FQ10" s="135"/>
      <c r="FR10" s="135"/>
      <c r="FS10" s="135"/>
      <c r="FT10" s="135"/>
      <c r="FU10" s="135"/>
      <c r="FV10" s="135"/>
      <c r="FW10" s="135"/>
      <c r="FX10" s="135"/>
      <c r="FY10" s="135"/>
      <c r="FZ10" s="135"/>
      <c r="GA10" s="135"/>
      <c r="GB10" s="135"/>
      <c r="GC10" s="135"/>
      <c r="GD10" s="135"/>
      <c r="GE10" s="135"/>
      <c r="GF10" s="135"/>
      <c r="GG10" s="135"/>
      <c r="GH10" s="135"/>
      <c r="GI10" s="135"/>
      <c r="GJ10" s="135"/>
      <c r="GK10" s="135"/>
      <c r="GL10" s="135"/>
      <c r="GM10" s="135"/>
      <c r="GN10" s="135"/>
      <c r="GO10" s="135"/>
      <c r="GP10" s="135"/>
      <c r="GQ10" s="135"/>
      <c r="GR10" s="135"/>
      <c r="GS10" s="135"/>
      <c r="GT10" s="135"/>
      <c r="GU10" s="135"/>
      <c r="GV10" s="135"/>
      <c r="GW10" s="135"/>
      <c r="GX10" s="135"/>
      <c r="GY10" s="135"/>
      <c r="GZ10" s="135"/>
      <c r="HA10" s="135"/>
      <c r="HB10" s="135"/>
      <c r="HC10" s="135"/>
      <c r="HD10" s="135"/>
      <c r="HE10" s="135"/>
      <c r="HF10" s="135"/>
      <c r="HG10" s="135"/>
      <c r="HH10" s="135"/>
      <c r="HI10" s="135"/>
      <c r="HJ10" s="135"/>
      <c r="HK10" s="135"/>
      <c r="HL10" s="135"/>
      <c r="HM10" s="135"/>
      <c r="HN10" s="135"/>
      <c r="HO10" s="135"/>
      <c r="HP10" s="135"/>
      <c r="HQ10" s="135"/>
      <c r="HR10" s="135"/>
      <c r="HS10" s="135"/>
      <c r="HT10" s="135"/>
      <c r="HU10" s="135"/>
      <c r="HV10" s="135"/>
      <c r="HW10" s="135"/>
      <c r="HX10" s="135"/>
      <c r="HY10" s="135"/>
      <c r="HZ10" s="135"/>
      <c r="IA10" s="135"/>
      <c r="IB10" s="135"/>
      <c r="IC10" s="135"/>
      <c r="ID10" s="135"/>
      <c r="IE10" s="135"/>
      <c r="IF10" s="135"/>
      <c r="IG10" s="135"/>
      <c r="IH10" s="135"/>
      <c r="II10" s="135"/>
      <c r="IJ10" s="135"/>
      <c r="IK10" s="135"/>
      <c r="IL10" s="135"/>
      <c r="IM10" s="135"/>
      <c r="IN10" s="135"/>
      <c r="IO10" s="135"/>
      <c r="IP10" s="135"/>
      <c r="IQ10" s="135"/>
      <c r="IR10" s="135"/>
      <c r="IS10" s="135"/>
      <c r="IT10" s="135"/>
      <c r="IU10" s="135"/>
      <c r="IV10" s="135"/>
      <c r="IW10" s="135"/>
      <c r="IX10" s="135"/>
      <c r="IY10" s="135"/>
      <c r="IZ10" s="135"/>
      <c r="JA10" s="135"/>
      <c r="JB10" s="135"/>
      <c r="JC10" s="135"/>
      <c r="JD10" s="135"/>
      <c r="JE10" s="473"/>
      <c r="JF10" s="473"/>
      <c r="JG10" s="473"/>
      <c r="JH10" s="473"/>
      <c r="JI10" s="473"/>
      <c r="JJ10" s="473"/>
      <c r="JK10" s="473"/>
      <c r="JL10" s="473"/>
      <c r="JM10" s="473"/>
      <c r="JN10" s="473"/>
      <c r="JO10" s="473"/>
      <c r="JP10" s="473"/>
      <c r="JQ10" s="473"/>
      <c r="JR10" s="473"/>
      <c r="JS10" s="473"/>
      <c r="JT10" s="473"/>
      <c r="JU10" s="473"/>
      <c r="JV10" s="473"/>
      <c r="JW10" s="473"/>
      <c r="JX10" s="473"/>
      <c r="JY10" s="473"/>
      <c r="JZ10" s="473"/>
      <c r="KA10" s="473"/>
      <c r="KB10" s="473"/>
      <c r="KC10" s="473"/>
    </row>
    <row r="11" spans="1:289">
      <c r="B11" s="396"/>
      <c r="I11" s="22"/>
      <c r="J11" s="156" t="s">
        <v>32</v>
      </c>
      <c r="K11" s="156" t="s">
        <v>32</v>
      </c>
      <c r="L11" s="22" t="s">
        <v>29</v>
      </c>
      <c r="M11" s="22" t="s">
        <v>30</v>
      </c>
      <c r="N11" s="22" t="s">
        <v>29</v>
      </c>
      <c r="O11" s="22" t="s">
        <v>30</v>
      </c>
      <c r="P11" s="22" t="s">
        <v>29</v>
      </c>
      <c r="Q11" s="22" t="s">
        <v>30</v>
      </c>
      <c r="R11" s="22" t="s">
        <v>29</v>
      </c>
      <c r="S11" s="22" t="s">
        <v>30</v>
      </c>
      <c r="AB11" s="5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97"/>
      <c r="BE11" s="202"/>
      <c r="BF11" s="175"/>
      <c r="BG11" s="175"/>
      <c r="BH11" s="175"/>
      <c r="BI11" s="175"/>
      <c r="BJ11" s="175"/>
      <c r="BK11" s="175"/>
      <c r="BL11" s="175"/>
      <c r="BM11" s="175"/>
      <c r="BN11" s="97"/>
      <c r="BO11" s="166"/>
      <c r="BP11" s="175"/>
      <c r="CJ11" s="123"/>
      <c r="CR11" s="138"/>
      <c r="CW11" s="170"/>
      <c r="CX11" s="170"/>
      <c r="CY11" s="170"/>
      <c r="CZ11" s="170"/>
      <c r="DA11" s="170"/>
      <c r="DB11" s="170"/>
      <c r="DC11" s="182"/>
      <c r="DD11" s="175"/>
      <c r="DE11" s="267" t="s">
        <v>2998</v>
      </c>
      <c r="DF11" s="57">
        <f>DF49</f>
        <v>0</v>
      </c>
      <c r="DG11" s="175"/>
      <c r="DH11" s="175"/>
      <c r="DI11" s="175"/>
      <c r="DJ11" s="175"/>
      <c r="DK11" s="182"/>
      <c r="DM11" s="2"/>
      <c r="DN11" s="415"/>
      <c r="DO11" s="415"/>
      <c r="DP11" s="416" t="s">
        <v>39</v>
      </c>
      <c r="DQ11" s="417" t="s">
        <v>3277</v>
      </c>
      <c r="DR11" s="211"/>
      <c r="DS11" s="418" t="s">
        <v>3278</v>
      </c>
      <c r="DT11" s="6"/>
      <c r="DW11" s="108" t="s">
        <v>3279</v>
      </c>
      <c r="DX11" s="419">
        <f>BF65</f>
        <v>0</v>
      </c>
      <c r="DZ11" s="48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FK11" s="135"/>
      <c r="FL11" s="515" t="s">
        <v>3615</v>
      </c>
      <c r="FM11" s="178"/>
      <c r="FN11" s="178"/>
      <c r="FO11" s="178"/>
      <c r="FP11" s="178"/>
      <c r="FQ11" s="178"/>
      <c r="FR11" s="178"/>
      <c r="FS11" s="178"/>
      <c r="FT11" s="178"/>
      <c r="FU11" s="178"/>
      <c r="FV11" s="178"/>
      <c r="FW11" s="178"/>
      <c r="FX11" s="178"/>
      <c r="FY11" s="178"/>
      <c r="FZ11" s="178"/>
      <c r="GA11" s="178"/>
      <c r="GB11" s="178"/>
      <c r="GC11" s="178"/>
      <c r="GD11" s="178"/>
      <c r="GE11" s="178"/>
      <c r="GF11" s="178"/>
      <c r="GG11" s="178"/>
      <c r="GH11" s="178"/>
      <c r="GI11" s="178"/>
      <c r="GJ11" s="178"/>
      <c r="GK11" s="178"/>
      <c r="GL11" s="178"/>
      <c r="GM11" s="178"/>
      <c r="GN11" s="178"/>
      <c r="GO11" s="178"/>
      <c r="GP11" s="178"/>
      <c r="GQ11" s="178"/>
      <c r="GR11" s="178"/>
      <c r="GS11" s="178"/>
      <c r="GT11" s="178"/>
      <c r="GU11" s="178"/>
      <c r="GV11" s="178"/>
      <c r="GW11" s="178"/>
      <c r="GX11" s="178"/>
      <c r="GY11" s="178"/>
      <c r="GZ11" s="178"/>
      <c r="HA11" s="178"/>
      <c r="HB11" s="178"/>
      <c r="HC11" s="178"/>
      <c r="HD11" s="178"/>
      <c r="HE11" s="178"/>
      <c r="HF11" s="178"/>
      <c r="HG11" s="178"/>
      <c r="HH11" s="178"/>
      <c r="HI11" s="178"/>
      <c r="HJ11" s="178"/>
      <c r="HK11" s="178"/>
      <c r="HL11" s="178"/>
      <c r="HM11" s="178"/>
      <c r="HN11" s="178"/>
      <c r="HO11" s="178"/>
      <c r="HP11" s="178"/>
      <c r="HQ11" s="178"/>
      <c r="HR11" s="178"/>
      <c r="HS11" s="178"/>
      <c r="HT11" s="178"/>
      <c r="HU11" s="178"/>
      <c r="HV11" s="178"/>
      <c r="HW11" s="178"/>
      <c r="HX11" s="178"/>
      <c r="HY11" s="178"/>
      <c r="HZ11" s="178"/>
      <c r="IA11" s="178"/>
      <c r="IB11" s="178"/>
      <c r="IC11" s="178"/>
      <c r="ID11" s="178"/>
      <c r="IE11" s="178"/>
      <c r="IF11" s="178"/>
      <c r="IG11" s="178"/>
      <c r="IH11" s="178"/>
      <c r="II11" s="178"/>
      <c r="IJ11" s="178"/>
      <c r="IK11" s="178"/>
      <c r="IL11" s="178"/>
      <c r="IM11" s="178"/>
      <c r="IN11" s="515" t="s">
        <v>3615</v>
      </c>
      <c r="IO11" s="178"/>
      <c r="IP11" s="178"/>
      <c r="IQ11" s="178"/>
      <c r="IR11" s="178"/>
      <c r="IS11" s="178"/>
      <c r="IT11" s="178"/>
      <c r="IU11" s="178"/>
      <c r="IV11" s="178"/>
      <c r="IW11" s="178"/>
      <c r="IX11" s="178"/>
      <c r="IY11" s="178"/>
      <c r="IZ11" s="178"/>
      <c r="JA11" s="178"/>
      <c r="JB11" s="178"/>
      <c r="JC11" s="178"/>
      <c r="JD11" s="135"/>
    </row>
    <row r="12" spans="1:289">
      <c r="B12" s="396"/>
      <c r="I12" s="22"/>
      <c r="J12" s="156" t="s">
        <v>33</v>
      </c>
      <c r="K12" s="156" t="s">
        <v>33</v>
      </c>
      <c r="L12" s="22" t="s">
        <v>29</v>
      </c>
      <c r="M12" s="22" t="s">
        <v>30</v>
      </c>
      <c r="N12" s="22" t="s">
        <v>29</v>
      </c>
      <c r="O12" s="22" t="s">
        <v>30</v>
      </c>
      <c r="P12" s="22" t="s">
        <v>29</v>
      </c>
      <c r="Q12" s="22" t="s">
        <v>30</v>
      </c>
      <c r="R12" s="22" t="s">
        <v>29</v>
      </c>
      <c r="S12" s="22" t="s">
        <v>30</v>
      </c>
      <c r="AB12" s="5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97"/>
      <c r="BE12" s="202"/>
      <c r="BF12" s="175"/>
      <c r="BG12" s="175"/>
      <c r="BH12" s="175"/>
      <c r="BI12" s="175"/>
      <c r="BJ12" s="175"/>
      <c r="BK12" s="175"/>
      <c r="BL12" s="175"/>
      <c r="BM12" s="175"/>
      <c r="BN12" s="97"/>
      <c r="BO12" s="166"/>
      <c r="BP12" s="175"/>
      <c r="CJ12" s="123"/>
      <c r="CR12" s="138"/>
      <c r="CW12" s="170"/>
      <c r="CX12" s="170"/>
      <c r="CY12" s="276" t="s">
        <v>2896</v>
      </c>
      <c r="CZ12" s="170"/>
      <c r="DA12" s="170"/>
      <c r="DB12" s="170"/>
      <c r="DC12" s="182"/>
      <c r="DD12" s="402"/>
      <c r="DE12" s="402" t="s">
        <v>2935</v>
      </c>
      <c r="DF12" s="195">
        <f>IF(DF11&lt;10,0,DF11)</f>
        <v>0</v>
      </c>
      <c r="DG12" s="403" t="s">
        <v>2999</v>
      </c>
      <c r="DH12" s="402"/>
      <c r="DI12" s="402"/>
      <c r="DJ12" s="402"/>
      <c r="DK12" s="182"/>
      <c r="DM12" s="2"/>
      <c r="DN12" s="420" t="s">
        <v>3280</v>
      </c>
      <c r="DO12" s="420" t="s">
        <v>3280</v>
      </c>
      <c r="DP12" s="421" t="s">
        <v>3281</v>
      </c>
      <c r="DQ12" s="422" t="s">
        <v>3282</v>
      </c>
      <c r="DR12" s="19" t="s">
        <v>3207</v>
      </c>
      <c r="DS12" s="345" t="s">
        <v>3283</v>
      </c>
      <c r="DT12" s="6"/>
      <c r="DW12" s="1" t="s">
        <v>3515</v>
      </c>
      <c r="DX12" s="1" t="str">
        <f>IF(DX11=0,"Α",DX11)</f>
        <v>Α</v>
      </c>
      <c r="DZ12" s="48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FK12" s="135"/>
      <c r="FL12" s="516" t="s">
        <v>4017</v>
      </c>
      <c r="FM12" s="405"/>
      <c r="FN12" s="405"/>
      <c r="FO12" s="405"/>
      <c r="FP12" s="405"/>
      <c r="FQ12" s="405"/>
      <c r="FR12" s="405"/>
      <c r="FS12" s="405"/>
      <c r="FT12" s="405"/>
      <c r="FU12" s="405"/>
      <c r="FV12" s="405"/>
      <c r="FW12" s="405"/>
      <c r="FX12" s="405"/>
      <c r="FY12" s="405"/>
      <c r="FZ12" s="405"/>
      <c r="GA12" s="405"/>
      <c r="GB12" s="405"/>
      <c r="GC12" s="405"/>
      <c r="GD12" s="405"/>
      <c r="GE12" s="405"/>
      <c r="GF12" s="405"/>
      <c r="GG12" s="405"/>
      <c r="GH12" s="405"/>
      <c r="GI12" s="405"/>
      <c r="GJ12" s="405"/>
      <c r="GK12" s="405"/>
      <c r="GL12" s="405"/>
      <c r="GM12" s="405"/>
      <c r="GN12" s="405"/>
      <c r="GO12" s="405"/>
      <c r="GP12" s="405"/>
      <c r="GQ12" s="405"/>
      <c r="GR12" s="405"/>
      <c r="GS12" s="405"/>
      <c r="GT12" s="405"/>
      <c r="GU12" s="405"/>
      <c r="GV12" s="405"/>
      <c r="GW12" s="405"/>
      <c r="GX12" s="405"/>
      <c r="GY12" s="405"/>
      <c r="GZ12" s="405"/>
      <c r="HA12" s="405"/>
      <c r="HB12" s="405"/>
      <c r="HC12" s="405"/>
      <c r="HD12" s="405"/>
      <c r="HE12" s="405"/>
      <c r="HF12" s="405"/>
      <c r="HG12" s="405"/>
      <c r="HH12" s="405"/>
      <c r="HI12" s="405"/>
      <c r="HJ12" s="405"/>
      <c r="HK12" s="405"/>
      <c r="HL12" s="405"/>
      <c r="HM12" s="405"/>
      <c r="HN12" s="405"/>
      <c r="HO12" s="405"/>
      <c r="HP12" s="405"/>
      <c r="HQ12" s="405"/>
      <c r="HR12" s="405"/>
      <c r="HS12" s="405"/>
      <c r="HT12" s="405"/>
      <c r="HU12" s="405"/>
      <c r="HV12" s="405"/>
      <c r="HW12" s="405"/>
      <c r="HX12" s="405"/>
      <c r="HY12" s="405"/>
      <c r="HZ12" s="405"/>
      <c r="IA12" s="405"/>
      <c r="IB12" s="405"/>
      <c r="IC12" s="516" t="s">
        <v>4017</v>
      </c>
      <c r="ID12" s="405"/>
      <c r="IE12" s="405"/>
      <c r="IF12" s="405"/>
      <c r="IG12" s="405"/>
      <c r="IH12" s="405"/>
      <c r="II12" s="405"/>
      <c r="IJ12" s="405"/>
      <c r="IK12" s="405"/>
      <c r="IL12" s="405"/>
      <c r="IM12" s="405"/>
      <c r="IN12" s="178"/>
      <c r="IO12" s="128"/>
      <c r="IP12" s="168" t="s">
        <v>2984</v>
      </c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78"/>
      <c r="JD12" s="135"/>
    </row>
    <row r="13" spans="1:289">
      <c r="I13" s="22"/>
      <c r="J13" s="156" t="s">
        <v>34</v>
      </c>
      <c r="K13" s="156" t="s">
        <v>34</v>
      </c>
      <c r="L13" s="22" t="s">
        <v>29</v>
      </c>
      <c r="M13" s="22" t="s">
        <v>30</v>
      </c>
      <c r="N13" s="22" t="s">
        <v>29</v>
      </c>
      <c r="O13" s="22" t="s">
        <v>30</v>
      </c>
      <c r="P13" s="22" t="s">
        <v>29</v>
      </c>
      <c r="Q13" s="22" t="s">
        <v>30</v>
      </c>
      <c r="R13" s="22" t="s">
        <v>29</v>
      </c>
      <c r="S13" s="22" t="s">
        <v>30</v>
      </c>
      <c r="AB13" s="5"/>
      <c r="AC13" s="283" t="s">
        <v>2870</v>
      </c>
      <c r="AD13" s="5"/>
      <c r="AE13" s="5"/>
      <c r="AF13" s="5"/>
      <c r="AG13" s="5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97"/>
      <c r="BE13" s="99"/>
      <c r="BF13" s="99" t="s">
        <v>2811</v>
      </c>
      <c r="BG13" s="97"/>
      <c r="BH13" s="97"/>
      <c r="BI13" s="97"/>
      <c r="BJ13" s="97"/>
      <c r="BK13" s="97"/>
      <c r="BL13" s="97"/>
      <c r="BM13" s="97"/>
      <c r="BN13" s="97"/>
      <c r="BO13" s="166"/>
      <c r="BP13" s="175"/>
      <c r="CJ13" s="123"/>
      <c r="CR13" s="138"/>
      <c r="CW13" s="170"/>
      <c r="CX13" s="277"/>
      <c r="CY13" s="278" t="s">
        <v>3159</v>
      </c>
      <c r="CZ13" s="193"/>
      <c r="DA13" s="193"/>
      <c r="DB13" s="194"/>
      <c r="DC13" s="182"/>
      <c r="DE13" s="1" t="s">
        <v>2933</v>
      </c>
      <c r="DF13" s="404">
        <f>IF(DF12&lt;100,DF12,0)</f>
        <v>0</v>
      </c>
      <c r="DG13" s="1" t="s">
        <v>2931</v>
      </c>
      <c r="DH13" s="405">
        <f t="shared" ref="DH13:DH21" si="0">IF(DF14=0,DF13,0)</f>
        <v>0</v>
      </c>
      <c r="DI13" s="1" t="s">
        <v>2936</v>
      </c>
      <c r="DJ13" s="170">
        <f>IF(DH13&gt;0,90,0)</f>
        <v>0</v>
      </c>
      <c r="DK13" s="182"/>
      <c r="DM13" s="2"/>
      <c r="DN13" s="22" t="s">
        <v>3284</v>
      </c>
      <c r="DO13" s="22" t="s">
        <v>3284</v>
      </c>
      <c r="DP13" s="37"/>
      <c r="DQ13" s="37"/>
      <c r="DR13" s="37"/>
      <c r="DS13" s="297"/>
      <c r="DT13" s="6"/>
      <c r="DW13" s="1" t="s">
        <v>3061</v>
      </c>
      <c r="DX13" s="1" t="b">
        <f>ISNUMBER(DX12)</f>
        <v>0</v>
      </c>
      <c r="DY13" s="1" t="b">
        <v>0</v>
      </c>
      <c r="DZ13" s="48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T13" s="97"/>
      <c r="EU13" s="99"/>
      <c r="EV13" s="99" t="s">
        <v>2811</v>
      </c>
      <c r="EW13" s="97"/>
      <c r="EX13" s="97"/>
      <c r="EY13" s="97"/>
      <c r="EZ13" s="97"/>
      <c r="FA13" s="97"/>
      <c r="FB13" s="97"/>
      <c r="FC13" s="97"/>
      <c r="FD13" s="97"/>
      <c r="FE13" s="97"/>
      <c r="FF13" s="97"/>
      <c r="FG13" s="97"/>
      <c r="FH13" s="97"/>
      <c r="FK13" s="135"/>
      <c r="FL13" s="517" t="s">
        <v>4016</v>
      </c>
      <c r="FM13" s="170"/>
      <c r="FN13" s="170"/>
      <c r="FO13" s="170"/>
      <c r="FP13" s="170"/>
      <c r="FQ13" s="170"/>
      <c r="FR13" s="170"/>
      <c r="FS13" s="170"/>
      <c r="FT13" s="170"/>
      <c r="FU13" s="170"/>
      <c r="FV13" s="170"/>
      <c r="FW13" s="170"/>
      <c r="FX13" s="170"/>
      <c r="FY13" s="170"/>
      <c r="FZ13" s="170"/>
      <c r="GA13" s="170"/>
      <c r="GB13" s="170"/>
      <c r="GC13" s="170"/>
      <c r="GD13" s="170"/>
      <c r="GE13" s="170"/>
      <c r="GF13" s="170"/>
      <c r="GG13" s="170"/>
      <c r="GH13" s="170"/>
      <c r="GI13" s="170"/>
      <c r="GJ13" s="170"/>
      <c r="GK13" s="170"/>
      <c r="GL13" s="170"/>
      <c r="GM13" s="170"/>
      <c r="GN13" s="170"/>
      <c r="GO13" s="170"/>
      <c r="GP13" s="170"/>
      <c r="GQ13" s="170"/>
      <c r="GR13" s="170"/>
      <c r="GS13" s="170"/>
      <c r="GT13" s="170"/>
      <c r="GU13" s="170"/>
      <c r="GV13" s="170"/>
      <c r="GW13" s="170"/>
      <c r="GX13" s="170"/>
      <c r="GY13" s="170"/>
      <c r="GZ13" s="170"/>
      <c r="HA13" s="170"/>
      <c r="HB13" s="170"/>
      <c r="HC13" s="170"/>
      <c r="HD13" s="170"/>
      <c r="HE13" s="170"/>
      <c r="HF13" s="170"/>
      <c r="HG13" s="170"/>
      <c r="HH13" s="170"/>
      <c r="HI13" s="170"/>
      <c r="HJ13" s="170"/>
      <c r="HK13" s="517" t="s">
        <v>4016</v>
      </c>
      <c r="HL13" s="170"/>
      <c r="HM13" s="170"/>
      <c r="HN13" s="170"/>
      <c r="HO13" s="170"/>
      <c r="HP13" s="170"/>
      <c r="HQ13" s="170"/>
      <c r="HR13" s="170"/>
      <c r="HS13" s="170"/>
      <c r="HT13" s="170"/>
      <c r="HU13" s="170"/>
      <c r="HV13" s="170"/>
      <c r="HW13" s="170"/>
      <c r="HX13" s="170"/>
      <c r="HY13" s="170"/>
      <c r="HZ13" s="170"/>
      <c r="IA13" s="170"/>
      <c r="IB13" s="170"/>
      <c r="IC13" s="405"/>
      <c r="ID13" s="312" t="s">
        <v>3618</v>
      </c>
      <c r="IE13" s="312" t="s">
        <v>3619</v>
      </c>
      <c r="IF13" s="69" t="s">
        <v>3242</v>
      </c>
      <c r="IG13" s="69" t="s">
        <v>3620</v>
      </c>
      <c r="IH13" s="65" t="s">
        <v>4024</v>
      </c>
      <c r="II13" s="1"/>
      <c r="IJ13" s="1"/>
      <c r="IK13" s="1"/>
      <c r="IL13" s="1"/>
      <c r="IM13" s="405"/>
      <c r="IN13" s="178"/>
      <c r="IO13" s="419">
        <f>HL195</f>
        <v>0</v>
      </c>
      <c r="IP13" s="419" t="s">
        <v>3621</v>
      </c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78"/>
      <c r="JD13" s="135"/>
    </row>
    <row r="14" spans="1:289">
      <c r="I14" s="22"/>
      <c r="J14" s="156" t="s">
        <v>35</v>
      </c>
      <c r="K14" s="156" t="s">
        <v>35</v>
      </c>
      <c r="L14" s="22" t="s">
        <v>29</v>
      </c>
      <c r="M14" s="22" t="s">
        <v>30</v>
      </c>
      <c r="N14" s="22" t="s">
        <v>29</v>
      </c>
      <c r="O14" s="22" t="s">
        <v>30</v>
      </c>
      <c r="P14" s="22" t="s">
        <v>29</v>
      </c>
      <c r="Q14" s="22" t="s">
        <v>30</v>
      </c>
      <c r="R14" s="22" t="s">
        <v>29</v>
      </c>
      <c r="S14" s="22" t="s">
        <v>30</v>
      </c>
      <c r="AB14" s="5"/>
      <c r="AC14" s="283" t="s">
        <v>2871</v>
      </c>
      <c r="AD14" s="5"/>
      <c r="AE14" s="5"/>
      <c r="AF14" s="5"/>
      <c r="AG14" s="5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97"/>
      <c r="BE14" s="100" t="s">
        <v>2813</v>
      </c>
      <c r="BF14" s="101" t="s">
        <v>2814</v>
      </c>
      <c r="BG14" s="94"/>
      <c r="BH14" s="94"/>
      <c r="BI14" s="175"/>
      <c r="BN14" s="97"/>
      <c r="BO14" s="166"/>
      <c r="BP14" s="175"/>
      <c r="CJ14" s="123"/>
      <c r="CK14" s="145"/>
      <c r="CL14" s="6"/>
      <c r="CM14" s="6"/>
      <c r="CN14" s="145"/>
      <c r="CO14" s="6"/>
      <c r="CP14" s="6"/>
      <c r="CQ14" s="6"/>
      <c r="CR14" s="138"/>
      <c r="CW14" s="170"/>
      <c r="CX14" s="23"/>
      <c r="CY14" s="229" t="s">
        <v>3087</v>
      </c>
      <c r="CZ14" s="57">
        <f>CT57</f>
        <v>0</v>
      </c>
      <c r="DA14" s="6"/>
      <c r="DB14" s="142"/>
      <c r="DC14" s="182"/>
      <c r="DE14" s="1" t="s">
        <v>2937</v>
      </c>
      <c r="DF14" s="404">
        <f>IF(DF12&lt;90,DF12,0)</f>
        <v>0</v>
      </c>
      <c r="DG14" s="1" t="s">
        <v>2931</v>
      </c>
      <c r="DH14" s="405">
        <f t="shared" si="0"/>
        <v>0</v>
      </c>
      <c r="DI14" s="1" t="s">
        <v>2938</v>
      </c>
      <c r="DJ14" s="170">
        <f>IF(DH14&gt;0,80,0)</f>
        <v>0</v>
      </c>
      <c r="DK14" s="182"/>
      <c r="DM14" s="2"/>
      <c r="DN14" s="37" t="s">
        <v>3285</v>
      </c>
      <c r="DO14" s="37" t="s">
        <v>3285</v>
      </c>
      <c r="DP14" s="37" t="s">
        <v>37</v>
      </c>
      <c r="DQ14" s="37" t="s">
        <v>3286</v>
      </c>
      <c r="DR14" s="37" t="s">
        <v>38</v>
      </c>
      <c r="DS14" s="22"/>
      <c r="DT14" s="6"/>
      <c r="DW14" s="1" t="s">
        <v>3516</v>
      </c>
      <c r="DX14" s="106" t="str">
        <f>IF(DX13=DY13,DX12,"ΩΩΩ")</f>
        <v>Α</v>
      </c>
      <c r="DZ14" s="48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T14" s="97"/>
      <c r="EU14" s="100" t="s">
        <v>2813</v>
      </c>
      <c r="EV14" s="101" t="s">
        <v>2814</v>
      </c>
      <c r="EW14" s="94"/>
      <c r="EX14" s="175"/>
      <c r="EY14" s="175"/>
      <c r="FH14" s="97"/>
      <c r="FK14" s="135"/>
      <c r="FL14" s="414" t="s">
        <v>3622</v>
      </c>
      <c r="FM14" s="48"/>
      <c r="FN14" s="48"/>
      <c r="FO14" s="48"/>
      <c r="FP14" s="48"/>
      <c r="FQ14" s="48"/>
      <c r="FR14" s="48"/>
      <c r="FS14" s="48"/>
      <c r="FT14" s="48"/>
      <c r="FU14" s="48"/>
      <c r="FV14" s="48"/>
      <c r="FW14" s="48"/>
      <c r="FX14" s="48"/>
      <c r="FY14" s="2"/>
      <c r="FZ14" s="48" t="s">
        <v>3623</v>
      </c>
      <c r="GA14" s="48"/>
      <c r="GB14" s="510" t="s">
        <v>3624</v>
      </c>
      <c r="GC14" s="48"/>
      <c r="GD14" s="48"/>
      <c r="GE14" s="48"/>
      <c r="GF14" s="48"/>
      <c r="GG14" s="48"/>
      <c r="GH14" s="48"/>
      <c r="GI14" s="414" t="s">
        <v>3276</v>
      </c>
      <c r="GJ14" s="48"/>
      <c r="GK14" s="48"/>
      <c r="GL14" s="48"/>
      <c r="GM14" s="48"/>
      <c r="GN14" s="48"/>
      <c r="GO14" s="48"/>
      <c r="GP14" s="48"/>
      <c r="GQ14" s="48"/>
      <c r="GR14" s="48"/>
      <c r="GS14" s="48"/>
      <c r="GT14" s="48"/>
      <c r="GU14" s="48"/>
      <c r="GV14" s="48"/>
      <c r="GW14" s="2"/>
      <c r="GX14" s="48" t="s">
        <v>3625</v>
      </c>
      <c r="GY14" s="48"/>
      <c r="GZ14" s="48"/>
      <c r="HA14" s="48"/>
      <c r="HB14" s="510" t="s">
        <v>3626</v>
      </c>
      <c r="HC14" s="48"/>
      <c r="HD14" s="48"/>
      <c r="HE14" s="48"/>
      <c r="HF14" s="48"/>
      <c r="HG14" s="48"/>
      <c r="HH14" s="48"/>
      <c r="HI14" s="48"/>
      <c r="HJ14" s="48"/>
      <c r="HK14" s="170"/>
      <c r="HV14" s="518">
        <f>HN191</f>
        <v>0</v>
      </c>
      <c r="IB14" s="170"/>
      <c r="IC14" s="405"/>
      <c r="ID14" s="519"/>
      <c r="IE14" s="520"/>
      <c r="IF14" s="69"/>
      <c r="IG14" s="69"/>
      <c r="IH14" s="69"/>
      <c r="II14" s="1"/>
      <c r="IJ14" s="1"/>
      <c r="IK14" s="1"/>
      <c r="IL14" s="1"/>
      <c r="IM14" s="405"/>
      <c r="IN14" s="178"/>
      <c r="IO14" s="521">
        <f>IK37</f>
        <v>0</v>
      </c>
      <c r="IP14" s="522" t="s">
        <v>3627</v>
      </c>
      <c r="IQ14" s="1" t="s">
        <v>4026</v>
      </c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78"/>
      <c r="JD14" s="135"/>
    </row>
    <row r="15" spans="1:289">
      <c r="I15" s="22"/>
      <c r="J15" s="156" t="s">
        <v>36</v>
      </c>
      <c r="K15" s="156" t="s">
        <v>36</v>
      </c>
      <c r="L15" s="22" t="s">
        <v>29</v>
      </c>
      <c r="M15" s="22" t="s">
        <v>30</v>
      </c>
      <c r="N15" s="22" t="s">
        <v>29</v>
      </c>
      <c r="O15" s="22" t="s">
        <v>30</v>
      </c>
      <c r="P15" s="22" t="s">
        <v>29</v>
      </c>
      <c r="Q15" s="22" t="s">
        <v>30</v>
      </c>
      <c r="R15" s="22" t="s">
        <v>29</v>
      </c>
      <c r="S15" s="22" t="s">
        <v>30</v>
      </c>
      <c r="AB15" s="5"/>
      <c r="AI15" s="50"/>
      <c r="AJ15" s="50"/>
      <c r="AK15" s="50"/>
      <c r="AL15" s="50"/>
      <c r="AM15" s="50"/>
      <c r="AN15" s="50"/>
      <c r="AO15" s="50"/>
      <c r="AP15" s="50"/>
      <c r="AQ15" s="50"/>
      <c r="AR15" s="3"/>
      <c r="AS15" s="3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97"/>
      <c r="BE15" s="102" t="s">
        <v>2805</v>
      </c>
      <c r="BF15" s="103">
        <f>AQ83</f>
        <v>1</v>
      </c>
      <c r="BG15" s="94"/>
      <c r="BH15" s="94"/>
      <c r="BI15" s="175"/>
      <c r="BN15" s="97"/>
      <c r="BO15" s="166"/>
      <c r="BP15" s="175"/>
      <c r="CJ15" s="123"/>
      <c r="CK15" s="122" t="s">
        <v>2853</v>
      </c>
      <c r="CL15" s="123"/>
      <c r="CM15" s="123"/>
      <c r="CN15" s="123"/>
      <c r="CO15" s="123"/>
      <c r="CP15" s="123"/>
      <c r="CQ15" s="123"/>
      <c r="CR15" s="138"/>
      <c r="CS15" s="201" t="s">
        <v>2862</v>
      </c>
      <c r="CW15" s="170"/>
      <c r="CX15" s="23"/>
      <c r="CY15" s="229" t="s">
        <v>3088</v>
      </c>
      <c r="CZ15" s="57">
        <f>CT58</f>
        <v>0</v>
      </c>
      <c r="DA15" s="6"/>
      <c r="DB15" s="142"/>
      <c r="DC15" s="182"/>
      <c r="DE15" s="1" t="s">
        <v>2939</v>
      </c>
      <c r="DF15" s="404">
        <f>IF(DF12&lt;80,DF12,0)</f>
        <v>0</v>
      </c>
      <c r="DG15" s="1" t="s">
        <v>2931</v>
      </c>
      <c r="DH15" s="405">
        <f t="shared" si="0"/>
        <v>0</v>
      </c>
      <c r="DI15" s="1" t="s">
        <v>2940</v>
      </c>
      <c r="DJ15" s="170">
        <f>IF(DH15&gt;0,70,0)</f>
        <v>0</v>
      </c>
      <c r="DK15" s="182"/>
      <c r="DM15" s="2"/>
      <c r="DN15" s="37" t="s">
        <v>37</v>
      </c>
      <c r="DO15" s="37" t="s">
        <v>37</v>
      </c>
      <c r="DP15" s="37" t="s">
        <v>37</v>
      </c>
      <c r="DQ15" s="37" t="s">
        <v>3286</v>
      </c>
      <c r="DR15" s="37" t="s">
        <v>38</v>
      </c>
      <c r="DS15" s="22"/>
      <c r="DT15" s="6"/>
      <c r="DW15" s="1" t="s">
        <v>3287</v>
      </c>
      <c r="DX15" s="1" t="str">
        <f>LOOKUP(DX14,(DN13:DN257),(DO13:DO257))</f>
        <v>Α</v>
      </c>
      <c r="DZ15" s="48"/>
      <c r="ED15" s="3"/>
      <c r="EE15" s="3"/>
      <c r="EF15" s="3"/>
      <c r="EG15" s="3"/>
      <c r="EH15" s="436" t="str">
        <f>AP17</f>
        <v/>
      </c>
      <c r="EI15" s="474"/>
      <c r="EJ15" s="475" t="s">
        <v>3578</v>
      </c>
      <c r="EK15" s="476"/>
      <c r="EL15" s="476"/>
      <c r="EM15" s="436" t="str">
        <f>AS17</f>
        <v/>
      </c>
      <c r="EN15" s="474"/>
      <c r="EO15" s="474"/>
      <c r="EP15" s="3"/>
      <c r="EQ15" s="3"/>
      <c r="ER15" s="3"/>
      <c r="ET15" s="97"/>
      <c r="EU15" s="102" t="s">
        <v>2805</v>
      </c>
      <c r="EV15" s="103">
        <f>EJ72</f>
        <v>3</v>
      </c>
      <c r="EW15" s="94"/>
      <c r="EX15" s="175"/>
      <c r="EY15" s="175"/>
      <c r="FH15" s="97"/>
      <c r="FK15" s="135"/>
      <c r="FY15" s="2"/>
      <c r="FZ15" s="415"/>
      <c r="GA15" s="415"/>
      <c r="GB15" s="416" t="s">
        <v>39</v>
      </c>
      <c r="GC15" s="417" t="s">
        <v>3277</v>
      </c>
      <c r="GD15" s="182" t="s">
        <v>3629</v>
      </c>
      <c r="GE15" s="211" t="s">
        <v>3628</v>
      </c>
      <c r="GF15" s="418" t="s">
        <v>3278</v>
      </c>
      <c r="GI15" s="108" t="s">
        <v>3279</v>
      </c>
      <c r="GJ15" s="419">
        <f>FO58</f>
        <v>0</v>
      </c>
      <c r="GL15" s="48"/>
      <c r="GN15" s="1" t="s">
        <v>3630</v>
      </c>
      <c r="GO15" s="1" t="b">
        <f>ISNUMBER(GJ22)</f>
        <v>1</v>
      </c>
      <c r="GP15" s="1" t="b">
        <v>0</v>
      </c>
      <c r="GV15" s="128"/>
      <c r="GW15" s="2"/>
      <c r="GX15" s="415"/>
      <c r="GY15" s="415"/>
      <c r="GZ15" s="523" t="s">
        <v>3242</v>
      </c>
      <c r="HA15" s="524" t="s">
        <v>3631</v>
      </c>
      <c r="HB15" s="416" t="s">
        <v>3632</v>
      </c>
      <c r="HC15" s="418" t="s">
        <v>3633</v>
      </c>
      <c r="HG15" s="108" t="s">
        <v>3279</v>
      </c>
      <c r="HH15" s="65">
        <f>HG31</f>
        <v>0</v>
      </c>
      <c r="HJ15" s="48"/>
      <c r="HK15" s="170"/>
      <c r="HM15" s="1" t="s">
        <v>2854</v>
      </c>
      <c r="HN15" s="65">
        <f>HL193</f>
        <v>0</v>
      </c>
      <c r="HT15" s="128"/>
      <c r="HU15" s="525"/>
      <c r="HV15" s="526"/>
      <c r="IB15" s="170"/>
      <c r="IC15" s="405"/>
      <c r="ID15" s="527" t="s">
        <v>3634</v>
      </c>
      <c r="IE15" s="528" t="s">
        <v>3634</v>
      </c>
      <c r="IF15" s="37"/>
      <c r="IG15" s="37"/>
      <c r="IH15" s="37"/>
      <c r="II15" s="1"/>
      <c r="IJ15" s="1"/>
      <c r="IK15" s="1"/>
      <c r="IL15" s="1"/>
      <c r="IM15" s="405"/>
      <c r="IN15" s="178"/>
      <c r="IO15" s="608" t="e">
        <f>IU122</f>
        <v>#N/A</v>
      </c>
      <c r="IP15" s="522"/>
      <c r="IR15" s="1" t="s">
        <v>4036</v>
      </c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78"/>
      <c r="JD15" s="135"/>
    </row>
    <row r="16" spans="1:289">
      <c r="I16" s="24" t="s">
        <v>37</v>
      </c>
      <c r="J16" s="157" t="s">
        <v>38</v>
      </c>
      <c r="K16" s="157" t="s">
        <v>38</v>
      </c>
      <c r="L16" s="24" t="s">
        <v>39</v>
      </c>
      <c r="M16" s="24" t="s">
        <v>37</v>
      </c>
      <c r="N16" s="24" t="s">
        <v>37</v>
      </c>
      <c r="O16" s="24" t="s">
        <v>40</v>
      </c>
      <c r="P16" s="24" t="s">
        <v>41</v>
      </c>
      <c r="Q16" s="24" t="s">
        <v>42</v>
      </c>
      <c r="R16" s="24" t="s">
        <v>43</v>
      </c>
      <c r="S16" s="24" t="s">
        <v>41</v>
      </c>
      <c r="AB16" s="5"/>
      <c r="AC16" s="148" t="s">
        <v>3019</v>
      </c>
      <c r="AI16" s="50"/>
      <c r="AJ16" s="50"/>
      <c r="AK16" s="50"/>
      <c r="AL16" s="50"/>
      <c r="AM16" s="50"/>
      <c r="AN16" s="50"/>
      <c r="AO16" s="50"/>
      <c r="AP16" s="50"/>
      <c r="AQ16" s="50"/>
      <c r="AR16" s="3"/>
      <c r="AS16" s="3"/>
      <c r="AT16" s="327"/>
      <c r="AU16" s="327"/>
      <c r="AV16" s="50"/>
      <c r="AW16" s="50"/>
      <c r="AX16" s="50"/>
      <c r="AY16" s="50"/>
      <c r="AZ16" s="5"/>
      <c r="BA16" s="5"/>
      <c r="BB16" s="5"/>
      <c r="BC16" s="5"/>
      <c r="BD16" s="97"/>
      <c r="BE16" s="102" t="s">
        <v>2806</v>
      </c>
      <c r="BF16" s="104" t="s">
        <v>2815</v>
      </c>
      <c r="BG16" s="94"/>
      <c r="BH16" s="94"/>
      <c r="BI16" s="175"/>
      <c r="BN16" s="97"/>
      <c r="BO16" s="166"/>
      <c r="BP16" s="175"/>
      <c r="CJ16" s="123"/>
      <c r="CK16" s="204" t="s">
        <v>2794</v>
      </c>
      <c r="CL16" s="205"/>
      <c r="CM16" s="205"/>
      <c r="CN16" s="204" t="s">
        <v>2794</v>
      </c>
      <c r="CO16" s="205"/>
      <c r="CP16" s="205"/>
      <c r="CQ16" s="6"/>
      <c r="CR16" s="138"/>
      <c r="CS16" s="227" t="s">
        <v>2794</v>
      </c>
      <c r="CT16" s="228"/>
      <c r="CW16" s="170"/>
      <c r="CX16" s="23"/>
      <c r="CY16" s="275"/>
      <c r="CZ16" s="6"/>
      <c r="DA16" s="6"/>
      <c r="DB16" s="142"/>
      <c r="DC16" s="182"/>
      <c r="DE16" s="1" t="s">
        <v>2941</v>
      </c>
      <c r="DF16" s="404">
        <f>IF(DF12&lt;70,DF12,0)</f>
        <v>0</v>
      </c>
      <c r="DG16" s="1" t="s">
        <v>2931</v>
      </c>
      <c r="DH16" s="405">
        <f t="shared" si="0"/>
        <v>0</v>
      </c>
      <c r="DI16" s="1" t="s">
        <v>2942</v>
      </c>
      <c r="DJ16" s="170">
        <f>IF(DH16&gt;0,60,0)</f>
        <v>0</v>
      </c>
      <c r="DK16" s="182"/>
      <c r="DM16" s="2"/>
      <c r="DN16" s="37" t="s">
        <v>3288</v>
      </c>
      <c r="DO16" s="37" t="s">
        <v>3288</v>
      </c>
      <c r="DP16" s="37" t="s">
        <v>3208</v>
      </c>
      <c r="DQ16" s="37" t="s">
        <v>3289</v>
      </c>
      <c r="DR16" s="37" t="s">
        <v>69</v>
      </c>
      <c r="DS16" s="22"/>
      <c r="DT16" s="6"/>
      <c r="DV16" s="128"/>
      <c r="DW16" s="1" t="s">
        <v>3517</v>
      </c>
      <c r="DX16" s="48" t="str">
        <f>IF(DX15=DX14,DX15,"ΩΩ")</f>
        <v>Α</v>
      </c>
      <c r="DZ16" s="48"/>
      <c r="ED16" s="3"/>
      <c r="EE16" s="3"/>
      <c r="EF16" s="3"/>
      <c r="EG16" s="3"/>
      <c r="EH16" s="436" t="str">
        <f>AP18</f>
        <v/>
      </c>
      <c r="EI16" s="474"/>
      <c r="EJ16" s="362" t="s">
        <v>3579</v>
      </c>
      <c r="EK16" s="476"/>
      <c r="EL16" s="476"/>
      <c r="EM16" s="436" t="str">
        <f>AS18</f>
        <v/>
      </c>
      <c r="EN16" s="474"/>
      <c r="EO16" s="474"/>
      <c r="EP16" s="3"/>
      <c r="EQ16" s="3"/>
      <c r="ER16" s="3"/>
      <c r="ET16" s="97"/>
      <c r="EU16" s="102" t="s">
        <v>2806</v>
      </c>
      <c r="EV16" s="104" t="s">
        <v>2815</v>
      </c>
      <c r="EW16" s="94"/>
      <c r="EX16" s="175"/>
      <c r="EY16" s="175"/>
      <c r="FH16" s="97"/>
      <c r="FK16" s="135"/>
      <c r="FY16" s="2"/>
      <c r="FZ16" s="420" t="s">
        <v>3280</v>
      </c>
      <c r="GA16" s="420" t="s">
        <v>3280</v>
      </c>
      <c r="GB16" s="421" t="s">
        <v>3281</v>
      </c>
      <c r="GC16" s="422" t="s">
        <v>3282</v>
      </c>
      <c r="GD16" s="182" t="s">
        <v>3242</v>
      </c>
      <c r="GE16" s="19" t="s">
        <v>3207</v>
      </c>
      <c r="GF16" s="345" t="s">
        <v>3283</v>
      </c>
      <c r="GI16" s="1" t="s">
        <v>3515</v>
      </c>
      <c r="GJ16" s="1" t="str">
        <f>IF(GJ15=0,"Α",GJ15)</f>
        <v>Α</v>
      </c>
      <c r="GL16" s="48"/>
      <c r="GN16" s="1" t="s">
        <v>3636</v>
      </c>
      <c r="GO16" s="530">
        <f>IF(GO15=GP15,2,1)</f>
        <v>1</v>
      </c>
      <c r="GQ16" s="1" t="s">
        <v>3637</v>
      </c>
      <c r="GV16" s="128"/>
      <c r="GW16" s="2"/>
      <c r="GX16" s="420" t="s">
        <v>3280</v>
      </c>
      <c r="GY16" s="420" t="s">
        <v>3280</v>
      </c>
      <c r="GZ16" s="531"/>
      <c r="HA16" s="532" t="s">
        <v>15</v>
      </c>
      <c r="HB16" s="421" t="s">
        <v>14</v>
      </c>
      <c r="HC16" s="345" t="s">
        <v>3283</v>
      </c>
      <c r="HG16" s="1" t="s">
        <v>3515</v>
      </c>
      <c r="HH16" s="1" t="str">
        <f>IF(HH15=0,"A",HH15)</f>
        <v>A</v>
      </c>
      <c r="HJ16" s="48"/>
      <c r="HK16" s="170"/>
      <c r="HM16" s="533" t="s">
        <v>3638</v>
      </c>
      <c r="HN16" s="533" t="b">
        <f>ISNUMBER(HN15)</f>
        <v>1</v>
      </c>
      <c r="HO16" s="1" t="b">
        <v>0</v>
      </c>
      <c r="HT16" s="128"/>
      <c r="HU16" s="534">
        <v>0</v>
      </c>
      <c r="HV16" s="535" t="s">
        <v>3639</v>
      </c>
      <c r="HX16" s="1" t="s">
        <v>3640</v>
      </c>
      <c r="HY16" s="106" t="str">
        <f ca="1">LOOKUP(HV14,(HU15:HU49),(HV15:HV37))</f>
        <v>Δεν υπάρχει</v>
      </c>
      <c r="HZ16" s="1" t="b">
        <v>0</v>
      </c>
      <c r="IB16" s="170"/>
      <c r="IC16" s="405"/>
      <c r="ID16" s="527" t="s">
        <v>203</v>
      </c>
      <c r="IE16" s="528" t="s">
        <v>203</v>
      </c>
      <c r="IF16" s="37" t="s">
        <v>3641</v>
      </c>
      <c r="IG16" s="37"/>
      <c r="IH16" s="37"/>
      <c r="II16" s="1"/>
      <c r="IJ16" s="1"/>
      <c r="IK16" s="1"/>
      <c r="IL16" s="1"/>
      <c r="IM16" s="405"/>
      <c r="IN16" s="178"/>
      <c r="IO16" s="610" t="e">
        <f>IF(IO14=IR15,IR15,IU122)</f>
        <v>#N/A</v>
      </c>
      <c r="IP16" s="534" t="s">
        <v>4045</v>
      </c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78"/>
      <c r="JD16" s="135"/>
    </row>
    <row r="17" spans="9:264">
      <c r="I17" s="22"/>
      <c r="J17" s="156" t="s">
        <v>44</v>
      </c>
      <c r="K17" s="156" t="s">
        <v>44</v>
      </c>
      <c r="L17" s="25">
        <v>19</v>
      </c>
      <c r="M17" s="25">
        <v>50</v>
      </c>
      <c r="N17" s="26">
        <v>47</v>
      </c>
      <c r="O17" s="22">
        <v>8</v>
      </c>
      <c r="P17" s="22">
        <v>52</v>
      </c>
      <c r="Q17" s="22">
        <v>6</v>
      </c>
      <c r="R17" s="22" t="s">
        <v>45</v>
      </c>
      <c r="S17" s="23" t="s">
        <v>46</v>
      </c>
      <c r="V17" s="4"/>
      <c r="W17" s="121" t="s">
        <v>2835</v>
      </c>
      <c r="X17" s="4"/>
      <c r="Y17" s="4"/>
      <c r="AB17" s="5"/>
      <c r="AI17" s="3"/>
      <c r="AJ17" s="3"/>
      <c r="AK17" s="3"/>
      <c r="AL17" s="3"/>
      <c r="AM17" s="3"/>
      <c r="AN17" s="3"/>
      <c r="AO17" s="3"/>
      <c r="AP17" s="359" t="str">
        <f>BS139</f>
        <v/>
      </c>
      <c r="AQ17" s="350"/>
      <c r="AR17" s="361" t="s">
        <v>2773</v>
      </c>
      <c r="AS17" s="359" t="str">
        <f>CB139</f>
        <v/>
      </c>
      <c r="AT17" s="350"/>
      <c r="AU17" s="352"/>
      <c r="AV17" s="3"/>
      <c r="AW17" s="3"/>
      <c r="AX17" s="3"/>
      <c r="AY17" s="3"/>
      <c r="AZ17" s="3"/>
      <c r="BA17" s="3"/>
      <c r="BB17" s="3"/>
      <c r="BC17" s="3"/>
      <c r="BD17" s="97"/>
      <c r="BE17" s="102" t="s">
        <v>2807</v>
      </c>
      <c r="BF17" s="94"/>
      <c r="BG17" s="94"/>
      <c r="BH17" s="94"/>
      <c r="BI17" s="175"/>
      <c r="BN17" s="97"/>
      <c r="BO17" s="166"/>
      <c r="BP17" s="175"/>
      <c r="CJ17" s="123"/>
      <c r="CK17" s="206" t="s">
        <v>2872</v>
      </c>
      <c r="CL17" s="125"/>
      <c r="CM17" s="126"/>
      <c r="CN17" s="206" t="s">
        <v>2798</v>
      </c>
      <c r="CO17" s="125"/>
      <c r="CP17" s="126"/>
      <c r="CQ17" s="6"/>
      <c r="CR17" s="138"/>
      <c r="CS17" s="133" t="s">
        <v>3057</v>
      </c>
      <c r="CT17" s="127"/>
      <c r="CW17" s="170"/>
      <c r="CX17" s="23"/>
      <c r="CY17" s="222" t="s">
        <v>3094</v>
      </c>
      <c r="CZ17" s="57">
        <f>CT109</f>
        <v>0</v>
      </c>
      <c r="DA17" s="6"/>
      <c r="DB17" s="142"/>
      <c r="DC17" s="182"/>
      <c r="DE17" s="1" t="s">
        <v>2943</v>
      </c>
      <c r="DF17" s="404">
        <f>IF(DF12&lt;60,DF12,0)</f>
        <v>0</v>
      </c>
      <c r="DG17" s="1" t="s">
        <v>2931</v>
      </c>
      <c r="DH17" s="405">
        <f t="shared" si="0"/>
        <v>0</v>
      </c>
      <c r="DI17" s="1" t="s">
        <v>2944</v>
      </c>
      <c r="DJ17" s="170">
        <f>IF(DH17&gt;0,50,0)</f>
        <v>0</v>
      </c>
      <c r="DK17" s="182"/>
      <c r="DM17" s="2"/>
      <c r="DN17" s="37" t="s">
        <v>70</v>
      </c>
      <c r="DO17" s="37" t="s">
        <v>70</v>
      </c>
      <c r="DP17" s="37" t="s">
        <v>3208</v>
      </c>
      <c r="DQ17" s="37" t="s">
        <v>3289</v>
      </c>
      <c r="DR17" s="37" t="s">
        <v>69</v>
      </c>
      <c r="DS17" s="22"/>
      <c r="DT17" s="6"/>
      <c r="DW17" s="1" t="s">
        <v>3518</v>
      </c>
      <c r="DX17" s="1" t="str">
        <f>IF(DX16=DY17,1,DX16)</f>
        <v>Α</v>
      </c>
      <c r="DY17" s="1" t="s">
        <v>3235</v>
      </c>
      <c r="DZ17" s="48"/>
      <c r="ED17" s="3"/>
      <c r="EE17" s="3"/>
      <c r="EF17" s="3"/>
      <c r="EG17" s="3"/>
      <c r="EH17" s="477" t="str">
        <f>IF(EV24=1,"Ενεργή Οθόνη 1","Αδρανης Οθόνη")</f>
        <v>Αδρανης Οθόνη</v>
      </c>
      <c r="EI17" s="478"/>
      <c r="EJ17" s="476"/>
      <c r="EK17" s="476" t="s">
        <v>3580</v>
      </c>
      <c r="EL17" s="476"/>
      <c r="EM17" s="476"/>
      <c r="EN17" s="479">
        <v>2018</v>
      </c>
      <c r="EO17" s="475"/>
      <c r="EP17" s="3"/>
      <c r="EQ17" s="3"/>
      <c r="ER17" s="3"/>
      <c r="ET17" s="97"/>
      <c r="EU17" s="102" t="s">
        <v>2807</v>
      </c>
      <c r="EV17" s="94"/>
      <c r="EW17" s="94"/>
      <c r="EX17" s="175"/>
      <c r="EY17" s="175"/>
      <c r="FH17" s="97"/>
      <c r="FK17" s="135"/>
      <c r="FY17" s="2"/>
      <c r="FZ17" s="22" t="s">
        <v>3284</v>
      </c>
      <c r="GA17" s="22" t="s">
        <v>3284</v>
      </c>
      <c r="GB17" s="37"/>
      <c r="GC17" s="69"/>
      <c r="GD17" s="69"/>
      <c r="GF17" s="297"/>
      <c r="GI17" s="1" t="s">
        <v>3061</v>
      </c>
      <c r="GJ17" s="1" t="b">
        <f>ISNUMBER(GJ16)</f>
        <v>0</v>
      </c>
      <c r="GK17" s="1" t="b">
        <v>0</v>
      </c>
      <c r="GL17" s="48"/>
      <c r="GO17" s="144" t="s">
        <v>3642</v>
      </c>
      <c r="GP17" s="373" t="s">
        <v>3643</v>
      </c>
      <c r="GQ17" s="180" t="s">
        <v>15</v>
      </c>
      <c r="GR17" s="537" t="s">
        <v>14</v>
      </c>
      <c r="GS17" s="187" t="s">
        <v>3644</v>
      </c>
      <c r="GV17" s="128"/>
      <c r="GW17" s="4"/>
      <c r="GX17" s="69" t="s">
        <v>3634</v>
      </c>
      <c r="GY17" s="69" t="s">
        <v>3634</v>
      </c>
      <c r="GZ17" s="69"/>
      <c r="HA17" s="69"/>
      <c r="HB17" s="69"/>
      <c r="HC17" s="69"/>
      <c r="HG17" s="1" t="s">
        <v>3061</v>
      </c>
      <c r="HH17" s="1" t="b">
        <f>ISNUMBER(HH16)</f>
        <v>0</v>
      </c>
      <c r="HJ17" s="48"/>
      <c r="HK17" s="538"/>
      <c r="HT17" s="128"/>
      <c r="HU17" s="534">
        <v>1</v>
      </c>
      <c r="HV17" s="534" t="s">
        <v>3248</v>
      </c>
      <c r="HX17" s="1" t="s">
        <v>3645</v>
      </c>
      <c r="HY17" s="166">
        <f>IF(HN16=HZ16,HY16,HL193)</f>
        <v>0</v>
      </c>
      <c r="IB17" s="170"/>
      <c r="IC17" s="405"/>
      <c r="ID17" s="527" t="s">
        <v>3646</v>
      </c>
      <c r="IE17" s="528" t="s">
        <v>3646</v>
      </c>
      <c r="IF17" s="37" t="s">
        <v>3647</v>
      </c>
      <c r="IG17" s="37"/>
      <c r="IH17" s="37"/>
      <c r="II17" s="1"/>
      <c r="IJ17" s="1" t="s">
        <v>3648</v>
      </c>
      <c r="IK17" s="65">
        <f>IK39</f>
        <v>0</v>
      </c>
      <c r="IL17" s="1"/>
      <c r="IM17" s="405"/>
      <c r="IN17" s="178"/>
      <c r="IO17" s="608" t="str">
        <f>IF(IQ111=0,"ωωωω",IO16)</f>
        <v>ωωωω</v>
      </c>
      <c r="IP17" s="522" t="s">
        <v>4056</v>
      </c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78"/>
      <c r="JD17" s="135"/>
    </row>
    <row r="18" spans="9:264">
      <c r="I18" s="22"/>
      <c r="J18" s="156" t="s">
        <v>47</v>
      </c>
      <c r="K18" s="156" t="s">
        <v>47</v>
      </c>
      <c r="L18" s="22">
        <v>19</v>
      </c>
      <c r="M18" s="22">
        <v>55</v>
      </c>
      <c r="N18" s="22">
        <v>18.8</v>
      </c>
      <c r="O18" s="22">
        <v>6</v>
      </c>
      <c r="P18" s="22">
        <v>24</v>
      </c>
      <c r="Q18" s="22">
        <v>24</v>
      </c>
      <c r="R18" s="22" t="s">
        <v>48</v>
      </c>
      <c r="S18" s="23" t="s">
        <v>49</v>
      </c>
      <c r="V18" s="6" t="s">
        <v>2852</v>
      </c>
      <c r="Y18" s="4"/>
      <c r="AB18" s="5"/>
      <c r="AC18" s="145" t="s">
        <v>2867</v>
      </c>
      <c r="AI18" s="3"/>
      <c r="AJ18" s="3"/>
      <c r="AK18" s="3"/>
      <c r="AL18" s="3"/>
      <c r="AM18" s="3"/>
      <c r="AN18" s="3"/>
      <c r="AO18" s="3"/>
      <c r="AP18" s="360" t="str">
        <f>BS140</f>
        <v/>
      </c>
      <c r="AQ18" s="351"/>
      <c r="AR18" s="362" t="s">
        <v>3542</v>
      </c>
      <c r="AS18" s="363" t="str">
        <f>CB140</f>
        <v/>
      </c>
      <c r="AT18" s="351"/>
      <c r="AU18" s="353"/>
      <c r="AV18" s="3"/>
      <c r="AW18" s="3"/>
      <c r="AX18" s="3"/>
      <c r="AY18" s="3"/>
      <c r="AZ18" s="3"/>
      <c r="BA18" s="3"/>
      <c r="BB18" s="3"/>
      <c r="BC18" s="3"/>
      <c r="BD18" s="97"/>
      <c r="BE18" s="102" t="s">
        <v>2816</v>
      </c>
      <c r="BF18" s="105" t="str">
        <f>BF64</f>
        <v>Eνεργή οθόνη 1</v>
      </c>
      <c r="BG18" s="94"/>
      <c r="BH18" s="94"/>
      <c r="BI18" s="175"/>
      <c r="BN18" s="97"/>
      <c r="BO18" s="166"/>
      <c r="BP18" s="175"/>
      <c r="CJ18" s="123"/>
      <c r="CK18" s="206" t="s">
        <v>2854</v>
      </c>
      <c r="CL18" s="125"/>
      <c r="CM18" s="126"/>
      <c r="CN18" s="206" t="s">
        <v>2854</v>
      </c>
      <c r="CO18" s="125"/>
      <c r="CP18" s="126"/>
      <c r="CQ18" s="6"/>
      <c r="CR18" s="138"/>
      <c r="CS18" s="38" t="s">
        <v>3058</v>
      </c>
      <c r="CT18" s="127"/>
      <c r="CW18" s="170"/>
      <c r="CX18" s="23"/>
      <c r="CY18" s="222" t="s">
        <v>3095</v>
      </c>
      <c r="CZ18" s="57">
        <f>CT110</f>
        <v>0</v>
      </c>
      <c r="DA18" s="6"/>
      <c r="DB18" s="142"/>
      <c r="DC18" s="182"/>
      <c r="DE18" s="1" t="s">
        <v>2945</v>
      </c>
      <c r="DF18" s="404">
        <f>IF(DF12&lt;50,DF12,0)</f>
        <v>0</v>
      </c>
      <c r="DG18" s="1" t="s">
        <v>2931</v>
      </c>
      <c r="DH18" s="405">
        <f t="shared" si="0"/>
        <v>0</v>
      </c>
      <c r="DI18" s="1" t="s">
        <v>2946</v>
      </c>
      <c r="DJ18" s="170">
        <f>IF(DH18&gt;0,40,0)</f>
        <v>0</v>
      </c>
      <c r="DK18" s="182"/>
      <c r="DM18" s="2"/>
      <c r="DN18" s="37" t="s">
        <v>3290</v>
      </c>
      <c r="DO18" s="37" t="s">
        <v>3290</v>
      </c>
      <c r="DP18" s="37" t="s">
        <v>3208</v>
      </c>
      <c r="DQ18" s="37" t="s">
        <v>3289</v>
      </c>
      <c r="DR18" s="37" t="s">
        <v>69</v>
      </c>
      <c r="DS18" s="22"/>
      <c r="DT18" s="6"/>
      <c r="DW18" s="1" t="s">
        <v>3519</v>
      </c>
      <c r="DX18" s="1">
        <f>IF(DX17=DX14,1,DX17)</f>
        <v>1</v>
      </c>
      <c r="DZ18" s="48"/>
      <c r="ED18" s="3"/>
      <c r="EE18" s="3"/>
      <c r="EF18" s="3"/>
      <c r="EG18" s="3" t="s">
        <v>2069</v>
      </c>
      <c r="EH18" s="475" t="s">
        <v>4085</v>
      </c>
      <c r="EI18" s="476"/>
      <c r="EJ18" s="476"/>
      <c r="EK18" s="476"/>
      <c r="EL18" s="476"/>
      <c r="EM18" s="476"/>
      <c r="EN18" s="475" t="s">
        <v>4088</v>
      </c>
      <c r="EO18" s="476"/>
      <c r="EP18" s="3"/>
      <c r="EQ18" s="3"/>
      <c r="ER18" s="3"/>
      <c r="ET18" s="97"/>
      <c r="EU18" s="102" t="s">
        <v>2816</v>
      </c>
      <c r="EV18" s="105" t="str">
        <f ca="1">EV66</f>
        <v>Eνεργή οθόνη 3</v>
      </c>
      <c r="EW18" s="94"/>
      <c r="EX18" s="175"/>
      <c r="EY18" s="175"/>
      <c r="FH18" s="97"/>
      <c r="FK18" s="135"/>
      <c r="FY18" s="2"/>
      <c r="FZ18" s="37" t="s">
        <v>3285</v>
      </c>
      <c r="GA18" s="37" t="s">
        <v>3285</v>
      </c>
      <c r="GB18" s="37" t="s">
        <v>37</v>
      </c>
      <c r="GC18" s="37" t="s">
        <v>3649</v>
      </c>
      <c r="GD18" s="37" t="s">
        <v>42</v>
      </c>
      <c r="GF18" s="22"/>
      <c r="GI18" s="1" t="s">
        <v>3516</v>
      </c>
      <c r="GJ18" s="106" t="str">
        <f>IF(GJ17=GK17,GJ16,"ΩΩΩ")</f>
        <v>Α</v>
      </c>
      <c r="GL18" s="48"/>
      <c r="GO18" s="539">
        <v>1</v>
      </c>
      <c r="GP18" s="65" t="str">
        <f>GJ36</f>
        <v/>
      </c>
      <c r="GQ18" s="65" t="str">
        <f>GJ34</f>
        <v/>
      </c>
      <c r="GR18" s="65" t="str">
        <f>GJ32</f>
        <v/>
      </c>
      <c r="GS18" s="65" t="str">
        <f>GJ38</f>
        <v/>
      </c>
      <c r="GW18" s="4"/>
      <c r="GX18" s="37" t="s">
        <v>202</v>
      </c>
      <c r="GY18" s="37" t="s">
        <v>202</v>
      </c>
      <c r="GZ18" s="37" t="s">
        <v>203</v>
      </c>
      <c r="HA18" s="37" t="s">
        <v>202</v>
      </c>
      <c r="HB18" s="37" t="s">
        <v>200</v>
      </c>
      <c r="HC18" s="37"/>
      <c r="HG18" s="1" t="s">
        <v>3650</v>
      </c>
      <c r="HH18" s="106" t="str">
        <f>IF(HH17=HI18,HH16,"ZZZ")</f>
        <v>A</v>
      </c>
      <c r="HI18" s="1" t="b">
        <v>0</v>
      </c>
      <c r="HJ18" s="48"/>
      <c r="HK18" s="170"/>
      <c r="HM18" s="191">
        <v>1</v>
      </c>
      <c r="HN18" s="1" t="s">
        <v>3651</v>
      </c>
      <c r="HT18" s="128"/>
      <c r="HU18" s="534">
        <v>2</v>
      </c>
      <c r="HV18" s="534" t="s">
        <v>3652</v>
      </c>
      <c r="IB18" s="170"/>
      <c r="IC18" s="405"/>
      <c r="ID18" s="527" t="s">
        <v>42</v>
      </c>
      <c r="IE18" s="528" t="s">
        <v>42</v>
      </c>
      <c r="IF18" s="37" t="s">
        <v>3653</v>
      </c>
      <c r="IG18" s="37"/>
      <c r="IH18" s="37"/>
      <c r="II18" s="1"/>
      <c r="IJ18" s="533" t="s">
        <v>2818</v>
      </c>
      <c r="IK18" s="533" t="b">
        <f>ISNUMBER(IK17)</f>
        <v>1</v>
      </c>
      <c r="IL18" s="533" t="b">
        <v>0</v>
      </c>
      <c r="IM18" s="405"/>
      <c r="IN18" s="600"/>
      <c r="IO18" s="610">
        <f>IF(IO13=0,0,1)</f>
        <v>0</v>
      </c>
      <c r="IP18" s="611" t="s">
        <v>4057</v>
      </c>
      <c r="JC18" s="600"/>
      <c r="JD18" s="135"/>
    </row>
    <row r="19" spans="9:264">
      <c r="I19" s="22"/>
      <c r="J19" s="156" t="s">
        <v>50</v>
      </c>
      <c r="K19" s="156" t="s">
        <v>50</v>
      </c>
      <c r="L19" s="22">
        <v>19</v>
      </c>
      <c r="M19" s="22">
        <v>46</v>
      </c>
      <c r="N19" s="22">
        <v>15.6</v>
      </c>
      <c r="O19" s="22">
        <v>10</v>
      </c>
      <c r="P19" s="22">
        <v>36</v>
      </c>
      <c r="Q19" s="22">
        <v>48</v>
      </c>
      <c r="R19" s="22" t="s">
        <v>51</v>
      </c>
      <c r="S19" s="23" t="s">
        <v>52</v>
      </c>
      <c r="X19" s="145" t="s">
        <v>3201</v>
      </c>
      <c r="Y19" s="392"/>
      <c r="AB19" s="5"/>
      <c r="AC19" s="122"/>
      <c r="AD19" s="57"/>
      <c r="AI19" s="52"/>
      <c r="AJ19" s="52"/>
      <c r="AK19" s="52"/>
      <c r="AL19" s="52"/>
      <c r="AM19" s="52"/>
      <c r="AN19" s="52"/>
      <c r="AO19" s="52"/>
      <c r="AP19" s="412" t="str">
        <f>IF(BF24=1,AQ87,"Αδρανής Οθόνη")</f>
        <v>Eνεργή οθόνη 1</v>
      </c>
      <c r="AQ19" s="314" t="s">
        <v>2774</v>
      </c>
      <c r="AR19" s="320" t="s">
        <v>3203</v>
      </c>
      <c r="AS19" s="435">
        <v>2000</v>
      </c>
      <c r="AT19" s="315" t="s">
        <v>2775</v>
      </c>
      <c r="AU19" s="316"/>
      <c r="AV19" s="52"/>
      <c r="AW19" s="52"/>
      <c r="AX19" s="52"/>
      <c r="AY19" s="53"/>
      <c r="AZ19" s="5"/>
      <c r="BA19" s="5"/>
      <c r="BB19" s="5"/>
      <c r="BC19" s="5"/>
      <c r="BD19" s="97"/>
      <c r="BE19" s="1">
        <v>2</v>
      </c>
      <c r="BN19" s="97"/>
      <c r="BO19" s="166"/>
      <c r="BP19" s="175"/>
      <c r="CJ19" s="123"/>
      <c r="CK19" s="38" t="s">
        <v>3023</v>
      </c>
      <c r="CL19" s="65" t="str">
        <f>BR24</f>
        <v/>
      </c>
      <c r="CM19" s="127"/>
      <c r="CN19" s="38" t="s">
        <v>3023</v>
      </c>
      <c r="CO19" s="65" t="str">
        <f>BR28</f>
        <v/>
      </c>
      <c r="CP19" s="127"/>
      <c r="CQ19" s="6"/>
      <c r="CR19" s="138"/>
      <c r="CS19" s="38" t="s">
        <v>3059</v>
      </c>
      <c r="CT19" s="127"/>
      <c r="CW19" s="170"/>
      <c r="CX19" s="23"/>
      <c r="CY19" s="275"/>
      <c r="CZ19" s="6"/>
      <c r="DA19" s="6"/>
      <c r="DB19" s="142"/>
      <c r="DC19" s="182"/>
      <c r="DE19" s="1" t="s">
        <v>2947</v>
      </c>
      <c r="DF19" s="404">
        <f>IF(DF12&lt;40,DF12,0)</f>
        <v>0</v>
      </c>
      <c r="DG19" s="1" t="s">
        <v>2931</v>
      </c>
      <c r="DH19" s="405">
        <f t="shared" si="0"/>
        <v>0</v>
      </c>
      <c r="DI19" s="1" t="s">
        <v>2948</v>
      </c>
      <c r="DJ19" s="170">
        <f>IF(DH19&gt;0,30,0)</f>
        <v>0</v>
      </c>
      <c r="DK19" s="182"/>
      <c r="DM19" s="2"/>
      <c r="DN19" s="37" t="s">
        <v>3208</v>
      </c>
      <c r="DO19" s="37" t="s">
        <v>3208</v>
      </c>
      <c r="DP19" s="37" t="s">
        <v>3208</v>
      </c>
      <c r="DQ19" s="37" t="s">
        <v>3289</v>
      </c>
      <c r="DR19" s="37" t="s">
        <v>69</v>
      </c>
      <c r="DS19" s="22"/>
      <c r="DT19" s="6"/>
      <c r="DW19" s="1" t="s">
        <v>3061</v>
      </c>
      <c r="DX19" s="1" t="b">
        <f>ISNUMBER(DX18)</f>
        <v>1</v>
      </c>
      <c r="DY19" s="1" t="b">
        <v>0</v>
      </c>
      <c r="DZ19" s="48"/>
      <c r="ED19" s="3"/>
      <c r="EE19" s="3"/>
      <c r="EF19" s="3"/>
      <c r="EG19" s="3"/>
      <c r="EH19" s="484" t="s">
        <v>4103</v>
      </c>
      <c r="EI19" s="320"/>
      <c r="EJ19" s="480" t="str">
        <f>AQ21</f>
        <v/>
      </c>
      <c r="EK19" s="481" t="s">
        <v>4101</v>
      </c>
      <c r="EL19" s="482"/>
      <c r="EM19" s="572" t="str">
        <f>AS21</f>
        <v/>
      </c>
      <c r="EN19" s="476" t="s">
        <v>4061</v>
      </c>
      <c r="EO19" s="480" t="str">
        <f>AU21</f>
        <v/>
      </c>
      <c r="EP19" s="3"/>
      <c r="EQ19" s="3"/>
      <c r="ER19" s="3"/>
      <c r="ET19" s="97"/>
      <c r="EU19" s="1">
        <v>2</v>
      </c>
      <c r="FH19" s="97"/>
      <c r="FK19" s="135"/>
      <c r="FY19" s="2"/>
      <c r="FZ19" s="37" t="s">
        <v>37</v>
      </c>
      <c r="GA19" s="37" t="s">
        <v>37</v>
      </c>
      <c r="GB19" s="37" t="s">
        <v>37</v>
      </c>
      <c r="GC19" s="37" t="s">
        <v>3649</v>
      </c>
      <c r="GD19" s="37" t="s">
        <v>42</v>
      </c>
      <c r="GF19" s="22"/>
      <c r="GI19" s="1" t="s">
        <v>3287</v>
      </c>
      <c r="GJ19" s="1" t="str">
        <f>LOOKUP(GJ18,(FZ17:FZ261),(GA17:GA261))</f>
        <v>Α</v>
      </c>
      <c r="GL19" s="48"/>
      <c r="GO19" s="539">
        <v>2</v>
      </c>
      <c r="GP19" s="65" t="str">
        <f>HH22</f>
        <v/>
      </c>
      <c r="GQ19" s="65" t="str">
        <f ca="1">HH24</f>
        <v/>
      </c>
      <c r="GR19" s="65" t="str">
        <f>HH26</f>
        <v/>
      </c>
      <c r="GS19" s="65" t="str">
        <f>HH28</f>
        <v/>
      </c>
      <c r="GV19" s="128"/>
      <c r="GW19" s="4"/>
      <c r="GX19" s="37" t="s">
        <v>246</v>
      </c>
      <c r="GY19" s="37" t="s">
        <v>246</v>
      </c>
      <c r="GZ19" s="37" t="s">
        <v>3646</v>
      </c>
      <c r="HA19" s="37" t="s">
        <v>246</v>
      </c>
      <c r="HB19" s="37" t="s">
        <v>244</v>
      </c>
      <c r="HC19" s="37"/>
      <c r="HG19" s="1" t="s">
        <v>3287</v>
      </c>
      <c r="HH19" s="1" t="str">
        <f>LOOKUP(HH18,(GX17:GX93),(GY17:GY93))</f>
        <v>A</v>
      </c>
      <c r="HJ19" s="48"/>
      <c r="HK19" s="170"/>
      <c r="HM19" s="1" t="s">
        <v>3655</v>
      </c>
      <c r="HN19" s="65">
        <f>HL193</f>
        <v>0</v>
      </c>
      <c r="HT19" s="128"/>
      <c r="HU19" s="534">
        <v>3</v>
      </c>
      <c r="HV19" s="534" t="s">
        <v>3605</v>
      </c>
      <c r="IB19" s="170"/>
      <c r="IC19" s="405"/>
      <c r="ID19" s="527" t="s">
        <v>2608</v>
      </c>
      <c r="IE19" s="528" t="s">
        <v>2608</v>
      </c>
      <c r="IF19" s="37" t="s">
        <v>3656</v>
      </c>
      <c r="IG19" s="37"/>
      <c r="IH19" s="37"/>
      <c r="II19" s="1"/>
      <c r="IJ19" s="1" t="s">
        <v>3657</v>
      </c>
      <c r="IK19" s="1" t="str">
        <f>IF(IK18=IL18,IK17,"ZZZ")</f>
        <v>ZZZ</v>
      </c>
      <c r="IL19" s="1"/>
      <c r="IM19" s="405"/>
      <c r="IN19" s="600"/>
      <c r="IO19" s="610">
        <f>IF(IO14=0,0,1)</f>
        <v>0</v>
      </c>
      <c r="IP19" s="611" t="s">
        <v>4058</v>
      </c>
      <c r="JC19" s="600"/>
      <c r="JD19" s="135"/>
    </row>
    <row r="20" spans="9:264" ht="15.75">
      <c r="I20" s="22"/>
      <c r="J20" s="156" t="s">
        <v>53</v>
      </c>
      <c r="K20" s="156" t="s">
        <v>53</v>
      </c>
      <c r="L20" s="22">
        <v>19</v>
      </c>
      <c r="M20" s="22">
        <v>25</v>
      </c>
      <c r="N20" s="22">
        <v>29.9</v>
      </c>
      <c r="O20" s="22">
        <v>3</v>
      </c>
      <c r="P20" s="22">
        <v>6</v>
      </c>
      <c r="Q20" s="22">
        <v>53</v>
      </c>
      <c r="R20" s="22" t="s">
        <v>54</v>
      </c>
      <c r="S20" s="23" t="s">
        <v>55</v>
      </c>
      <c r="X20" s="146" t="s">
        <v>2868</v>
      </c>
      <c r="Y20" s="364" t="str">
        <f>AD20</f>
        <v/>
      </c>
      <c r="AB20" s="5"/>
      <c r="AC20" s="146" t="s">
        <v>2794</v>
      </c>
      <c r="AD20" s="57" t="str">
        <f>BF78</f>
        <v/>
      </c>
      <c r="AI20" s="5"/>
      <c r="AJ20" s="5"/>
      <c r="AK20" s="5"/>
      <c r="AL20" s="5"/>
      <c r="AM20" s="5"/>
      <c r="AN20" s="5"/>
      <c r="AO20" s="5"/>
      <c r="AP20" s="314" t="s">
        <v>3543</v>
      </c>
      <c r="AQ20" s="320"/>
      <c r="AR20" s="314" t="s">
        <v>3523</v>
      </c>
      <c r="AS20" s="320"/>
      <c r="AT20" s="314" t="s">
        <v>2777</v>
      </c>
      <c r="AU20" s="320"/>
      <c r="AV20" s="5"/>
      <c r="AW20" s="5"/>
      <c r="AX20" s="5"/>
      <c r="AY20" s="54"/>
      <c r="AZ20" s="5"/>
      <c r="BA20" s="5"/>
      <c r="BB20" s="5"/>
      <c r="BC20" s="5"/>
      <c r="BD20" s="97"/>
      <c r="BE20" s="1" t="s">
        <v>2817</v>
      </c>
      <c r="BF20" s="65">
        <f>BF15</f>
        <v>1</v>
      </c>
      <c r="BN20" s="97"/>
      <c r="BO20" s="166"/>
      <c r="BP20" s="166"/>
      <c r="BQ20" s="166"/>
      <c r="BR20" s="136" t="s">
        <v>2891</v>
      </c>
      <c r="BS20" s="166"/>
      <c r="BT20" s="166"/>
      <c r="BU20" s="166"/>
      <c r="BV20" s="166"/>
      <c r="BW20" s="166"/>
      <c r="BX20" s="166"/>
      <c r="BY20" s="166"/>
      <c r="BZ20" s="166"/>
      <c r="CA20" s="166"/>
      <c r="CB20" s="166"/>
      <c r="CC20" s="166"/>
      <c r="CD20" s="166"/>
      <c r="CE20" s="166"/>
      <c r="CF20" s="166"/>
      <c r="CG20" s="166"/>
      <c r="CH20" s="166"/>
      <c r="CJ20" s="123"/>
      <c r="CK20" s="38" t="s">
        <v>3024</v>
      </c>
      <c r="CL20" s="65" t="str">
        <f>BR25</f>
        <v/>
      </c>
      <c r="CM20" s="127"/>
      <c r="CN20" s="38" t="s">
        <v>3024</v>
      </c>
      <c r="CO20" s="65" t="str">
        <f>BR29</f>
        <v/>
      </c>
      <c r="CP20" s="127"/>
      <c r="CQ20" s="6"/>
      <c r="CR20" s="138"/>
      <c r="CS20" s="38" t="s">
        <v>3060</v>
      </c>
      <c r="CT20" s="127"/>
      <c r="CW20" s="170"/>
      <c r="CX20" s="279"/>
      <c r="CY20" s="280"/>
      <c r="CZ20" s="281"/>
      <c r="DA20" s="281"/>
      <c r="DB20" s="282"/>
      <c r="DC20" s="182"/>
      <c r="DE20" s="1" t="s">
        <v>2949</v>
      </c>
      <c r="DF20" s="404">
        <f>IF(DF12&lt;30,DF12,0)</f>
        <v>0</v>
      </c>
      <c r="DG20" s="1" t="s">
        <v>2931</v>
      </c>
      <c r="DH20" s="405">
        <f t="shared" si="0"/>
        <v>0</v>
      </c>
      <c r="DI20" s="1" t="s">
        <v>2950</v>
      </c>
      <c r="DJ20" s="170">
        <f>IF(DH20&gt;0,20,0)</f>
        <v>0</v>
      </c>
      <c r="DK20" s="182"/>
      <c r="DM20" s="2"/>
      <c r="DN20" s="37" t="s">
        <v>3291</v>
      </c>
      <c r="DO20" s="37" t="s">
        <v>3291</v>
      </c>
      <c r="DP20" s="37" t="s">
        <v>101</v>
      </c>
      <c r="DQ20" s="37" t="s">
        <v>3292</v>
      </c>
      <c r="DR20" s="37" t="s">
        <v>102</v>
      </c>
      <c r="DS20" s="22"/>
      <c r="DT20" s="6"/>
      <c r="DW20" s="1" t="s">
        <v>3520</v>
      </c>
      <c r="DX20" s="186" t="str">
        <f>IF(DX19=DY19,"ΩΩΩΩ",DX16)</f>
        <v>Α</v>
      </c>
      <c r="DZ20" s="48"/>
      <c r="ED20" s="3"/>
      <c r="EE20" s="3"/>
      <c r="EF20" s="3"/>
      <c r="EG20" s="3"/>
      <c r="EH20" s="484" t="s">
        <v>4104</v>
      </c>
      <c r="EI20" s="320"/>
      <c r="EJ20" s="480" t="str">
        <f ca="1">AQ22</f>
        <v/>
      </c>
      <c r="EK20" s="483" t="str">
        <f>AR22</f>
        <v/>
      </c>
      <c r="EL20" s="484"/>
      <c r="EM20" s="485"/>
      <c r="EN20" s="476" t="s">
        <v>4062</v>
      </c>
      <c r="EO20" s="480" t="str">
        <f>AU22</f>
        <v/>
      </c>
      <c r="EP20" s="3"/>
      <c r="EQ20" s="3"/>
      <c r="ER20" s="3"/>
      <c r="ET20" s="97"/>
      <c r="EU20" s="1" t="s">
        <v>2817</v>
      </c>
      <c r="EV20" s="65">
        <f>EV15</f>
        <v>3</v>
      </c>
      <c r="FH20" s="97"/>
      <c r="FK20" s="135"/>
      <c r="FY20" s="2"/>
      <c r="FZ20" s="37" t="s">
        <v>3288</v>
      </c>
      <c r="GA20" s="37" t="s">
        <v>3288</v>
      </c>
      <c r="GB20" s="37" t="s">
        <v>3208</v>
      </c>
      <c r="GC20" s="37" t="s">
        <v>3659</v>
      </c>
      <c r="GD20" s="37" t="s">
        <v>72</v>
      </c>
      <c r="GF20" s="22"/>
      <c r="GH20" s="128"/>
      <c r="GI20" s="1" t="s">
        <v>3517</v>
      </c>
      <c r="GJ20" s="48" t="str">
        <f>IF(GJ19=GJ18,GJ19,"ΩΩ")</f>
        <v>Α</v>
      </c>
      <c r="GL20" s="48"/>
      <c r="GP20" s="373" t="str">
        <f>IF(GO16=1,GP18,GP19)</f>
        <v/>
      </c>
      <c r="GQ20" s="180" t="str">
        <f>IF(GO16=1,GQ18,GQ19)</f>
        <v/>
      </c>
      <c r="GR20" s="537" t="str">
        <f>IF(GO16=1,GR18,GR19)</f>
        <v/>
      </c>
      <c r="GS20" s="109" t="str">
        <f>IF(GO16=1,GS18,GS19)</f>
        <v/>
      </c>
      <c r="GV20" s="128"/>
      <c r="GW20" s="4"/>
      <c r="GX20" s="37" t="s">
        <v>2607</v>
      </c>
      <c r="GY20" s="37" t="s">
        <v>2607</v>
      </c>
      <c r="GZ20" s="37" t="s">
        <v>2608</v>
      </c>
      <c r="HA20" s="37" t="s">
        <v>2607</v>
      </c>
      <c r="HB20" s="37" t="s">
        <v>2605</v>
      </c>
      <c r="HC20" s="37"/>
      <c r="HG20" s="1" t="s">
        <v>3517</v>
      </c>
      <c r="HH20" s="118" t="str">
        <f>IF(HH19=HH18,HH19,"ZZ")</f>
        <v>A</v>
      </c>
      <c r="HJ20" s="48"/>
      <c r="HK20" s="170"/>
      <c r="HM20" s="1" t="s">
        <v>3248</v>
      </c>
      <c r="HN20" s="1">
        <f>IF(HN19=HM20,1,0)</f>
        <v>0</v>
      </c>
      <c r="HT20" s="128"/>
      <c r="HU20" s="534">
        <v>4</v>
      </c>
      <c r="HV20" s="534" t="s">
        <v>3660</v>
      </c>
      <c r="IB20" s="170"/>
      <c r="IC20" s="405"/>
      <c r="ID20" s="527" t="s">
        <v>332</v>
      </c>
      <c r="IE20" s="528" t="s">
        <v>332</v>
      </c>
      <c r="IF20" s="37" t="s">
        <v>3661</v>
      </c>
      <c r="IG20" s="37"/>
      <c r="IH20" s="37"/>
      <c r="II20" s="1"/>
      <c r="IJ20" s="1"/>
      <c r="IK20" s="541" t="str">
        <f>IK19</f>
        <v>ZZZ</v>
      </c>
      <c r="IL20" s="1"/>
      <c r="IM20" s="405"/>
      <c r="IN20" s="600"/>
      <c r="IO20" s="610">
        <f>IO18+IO19</f>
        <v>0</v>
      </c>
      <c r="IP20" s="611" t="s">
        <v>3688</v>
      </c>
      <c r="JC20" s="600"/>
      <c r="JD20" s="135"/>
    </row>
    <row r="21" spans="9:264" ht="18.75">
      <c r="I21" s="22"/>
      <c r="J21" s="156" t="s">
        <v>56</v>
      </c>
      <c r="K21" s="156" t="s">
        <v>56</v>
      </c>
      <c r="L21" s="22">
        <v>18</v>
      </c>
      <c r="M21" s="22">
        <v>59</v>
      </c>
      <c r="N21" s="22">
        <v>37.4</v>
      </c>
      <c r="O21" s="22">
        <v>15</v>
      </c>
      <c r="P21" s="22">
        <v>4</v>
      </c>
      <c r="Q21" s="22">
        <v>6</v>
      </c>
      <c r="R21" s="22" t="s">
        <v>57</v>
      </c>
      <c r="S21" s="23" t="s">
        <v>58</v>
      </c>
      <c r="X21" s="147" t="s">
        <v>2869</v>
      </c>
      <c r="Y21" s="364" t="str">
        <f>AD21</f>
        <v/>
      </c>
      <c r="AB21" s="5"/>
      <c r="AC21" s="147" t="s">
        <v>2823</v>
      </c>
      <c r="AD21" s="57" t="str">
        <f>BF79</f>
        <v/>
      </c>
      <c r="AI21" s="5"/>
      <c r="AJ21" s="5"/>
      <c r="AK21" s="5"/>
      <c r="AL21" s="5"/>
      <c r="AM21" s="5"/>
      <c r="AN21" s="5"/>
      <c r="AO21" s="5"/>
      <c r="AP21" s="320" t="s">
        <v>3559</v>
      </c>
      <c r="AQ21" s="319" t="str">
        <f>BQ119</f>
        <v/>
      </c>
      <c r="AR21" s="321" t="s">
        <v>2778</v>
      </c>
      <c r="AS21" s="322" t="str">
        <f>BS125</f>
        <v/>
      </c>
      <c r="AT21" s="320" t="s">
        <v>2779</v>
      </c>
      <c r="AU21" s="319" t="str">
        <f>BZ119</f>
        <v/>
      </c>
      <c r="AV21" s="5"/>
      <c r="AW21" s="5"/>
      <c r="AX21" s="5"/>
      <c r="AY21" s="54"/>
      <c r="AZ21" s="5"/>
      <c r="BA21" s="5"/>
      <c r="BB21" s="5"/>
      <c r="BC21" s="5"/>
      <c r="BD21" s="97"/>
      <c r="BE21" s="1" t="s">
        <v>2818</v>
      </c>
      <c r="BF21" s="1" t="b">
        <f>ISNUMBER(BF20)</f>
        <v>1</v>
      </c>
      <c r="BG21" s="1" t="b">
        <v>0</v>
      </c>
      <c r="BN21" s="97"/>
      <c r="BO21" s="166"/>
      <c r="BQ21" s="140"/>
      <c r="BR21" s="125" t="s">
        <v>2892</v>
      </c>
      <c r="BS21" s="125"/>
      <c r="BT21" s="125"/>
      <c r="BU21" s="126"/>
      <c r="BV21" s="128"/>
      <c r="BW21" s="128"/>
      <c r="BX21" s="128"/>
      <c r="BY21" s="128"/>
      <c r="CJ21" s="123"/>
      <c r="CK21" s="38" t="s">
        <v>2787</v>
      </c>
      <c r="CL21" s="65" t="str">
        <f>BR26</f>
        <v/>
      </c>
      <c r="CM21" s="127"/>
      <c r="CN21" s="38" t="s">
        <v>2787</v>
      </c>
      <c r="CO21" s="65" t="str">
        <f>BR30</f>
        <v/>
      </c>
      <c r="CP21" s="127"/>
      <c r="CQ21" s="6"/>
      <c r="CR21" s="138"/>
      <c r="CS21" s="133" t="s">
        <v>2854</v>
      </c>
      <c r="CT21" s="127"/>
      <c r="CW21" s="170"/>
      <c r="CX21" s="257"/>
      <c r="CY21" s="240" t="s">
        <v>2897</v>
      </c>
      <c r="CZ21" s="257"/>
      <c r="DA21" s="257"/>
      <c r="DB21" s="257"/>
      <c r="DC21" s="182"/>
      <c r="DE21" s="1" t="s">
        <v>2951</v>
      </c>
      <c r="DF21" s="404">
        <f>IF(DF12&lt;20,DF12,0)</f>
        <v>0</v>
      </c>
      <c r="DG21" s="1" t="s">
        <v>2931</v>
      </c>
      <c r="DH21" s="405">
        <f t="shared" si="0"/>
        <v>0</v>
      </c>
      <c r="DI21" s="1" t="s">
        <v>2952</v>
      </c>
      <c r="DJ21" s="170">
        <f>IF(DH21&gt;0,10,0)</f>
        <v>0</v>
      </c>
      <c r="DK21" s="182"/>
      <c r="DM21" s="2"/>
      <c r="DN21" s="37" t="s">
        <v>3209</v>
      </c>
      <c r="DO21" s="37" t="s">
        <v>3209</v>
      </c>
      <c r="DP21" s="37" t="s">
        <v>101</v>
      </c>
      <c r="DQ21" s="37" t="s">
        <v>3292</v>
      </c>
      <c r="DR21" s="37" t="s">
        <v>102</v>
      </c>
      <c r="DS21" s="22"/>
      <c r="DT21" s="6"/>
      <c r="DW21" s="442" t="s">
        <v>3521</v>
      </c>
      <c r="DZ21" s="48"/>
      <c r="ED21" s="3"/>
      <c r="EE21" s="3"/>
      <c r="EF21" s="3"/>
      <c r="EG21" s="3"/>
      <c r="EH21" s="484" t="s">
        <v>4105</v>
      </c>
      <c r="EI21" s="320"/>
      <c r="EJ21" s="571" t="str">
        <f>AQ23</f>
        <v/>
      </c>
      <c r="EK21" s="486" t="s">
        <v>4096</v>
      </c>
      <c r="EL21" s="487"/>
      <c r="EM21" s="490" t="str">
        <f>AS23</f>
        <v/>
      </c>
      <c r="EN21" s="476" t="s">
        <v>3581</v>
      </c>
      <c r="EO21" s="571" t="str">
        <f>AU23</f>
        <v/>
      </c>
      <c r="EP21" s="3"/>
      <c r="EQ21" s="3"/>
      <c r="ER21" s="3"/>
      <c r="ET21" s="97"/>
      <c r="EU21" s="1" t="s">
        <v>2818</v>
      </c>
      <c r="EV21" s="1" t="b">
        <f>ISNUMBER(EV20)</f>
        <v>1</v>
      </c>
      <c r="EW21" s="1" t="b">
        <v>0</v>
      </c>
      <c r="FH21" s="97"/>
      <c r="FK21" s="135"/>
      <c r="FY21" s="2"/>
      <c r="FZ21" s="37" t="s">
        <v>70</v>
      </c>
      <c r="GA21" s="37" t="s">
        <v>70</v>
      </c>
      <c r="GB21" s="37" t="s">
        <v>3208</v>
      </c>
      <c r="GC21" s="37" t="s">
        <v>3659</v>
      </c>
      <c r="GD21" s="37" t="s">
        <v>72</v>
      </c>
      <c r="GF21" s="22"/>
      <c r="GI21" s="1" t="s">
        <v>3518</v>
      </c>
      <c r="GJ21" s="1" t="str">
        <f>IF(GJ20=GK21,1,GJ20)</f>
        <v>Α</v>
      </c>
      <c r="GK21" s="1" t="s">
        <v>3235</v>
      </c>
      <c r="GL21" s="48"/>
      <c r="GV21" s="128"/>
      <c r="GW21" s="4"/>
      <c r="GX21" s="37" t="s">
        <v>41</v>
      </c>
      <c r="GY21" s="37" t="s">
        <v>41</v>
      </c>
      <c r="GZ21" s="37" t="s">
        <v>42</v>
      </c>
      <c r="HA21" s="37" t="s">
        <v>41</v>
      </c>
      <c r="HB21" s="1" t="s">
        <v>37</v>
      </c>
      <c r="HC21" s="37"/>
      <c r="HG21" s="1" t="s">
        <v>3662</v>
      </c>
      <c r="HH21" s="1">
        <f>LOOKUP(HH20,(GX17:GX93),(GZ17:GZ93))</f>
        <v>0</v>
      </c>
      <c r="HJ21" s="48"/>
      <c r="HK21" s="170"/>
      <c r="HM21" s="1" t="s">
        <v>3587</v>
      </c>
      <c r="HN21" s="1">
        <f>IF(HN19=HM21,1,0)</f>
        <v>0</v>
      </c>
      <c r="HT21" s="128"/>
      <c r="HU21" s="534">
        <v>5</v>
      </c>
      <c r="HV21" s="534" t="s">
        <v>3663</v>
      </c>
      <c r="IB21" s="170"/>
      <c r="IC21" s="405"/>
      <c r="ID21" s="527" t="s">
        <v>1000</v>
      </c>
      <c r="IE21" s="528" t="s">
        <v>1000</v>
      </c>
      <c r="IF21" s="37" t="s">
        <v>3664</v>
      </c>
      <c r="IG21" s="37"/>
      <c r="IH21" s="37"/>
      <c r="II21" s="1"/>
      <c r="IJ21" s="1" t="s">
        <v>3665</v>
      </c>
      <c r="IK21" s="48" t="str">
        <f>LOOKUP(IK20,(ID14:ID89),(IE14:IE89))</f>
        <v>ZZZ</v>
      </c>
      <c r="IL21" s="1"/>
      <c r="IM21" s="405"/>
      <c r="IN21" s="600"/>
      <c r="IO21" s="610" t="str">
        <f>IF(IO20=0,"",IO17)</f>
        <v/>
      </c>
      <c r="IP21" s="611" t="s">
        <v>4059</v>
      </c>
      <c r="JC21" s="600"/>
      <c r="JD21" s="135"/>
    </row>
    <row r="22" spans="9:264" ht="18.75">
      <c r="I22" s="22"/>
      <c r="J22" s="156" t="s">
        <v>59</v>
      </c>
      <c r="K22" s="156" t="s">
        <v>59</v>
      </c>
      <c r="L22" s="22">
        <v>19</v>
      </c>
      <c r="M22" s="22">
        <v>5</v>
      </c>
      <c r="N22" s="22">
        <v>24.6</v>
      </c>
      <c r="O22" s="22">
        <v>13</v>
      </c>
      <c r="P22" s="22">
        <v>51</v>
      </c>
      <c r="Q22" s="22">
        <v>48</v>
      </c>
      <c r="R22" s="22" t="s">
        <v>60</v>
      </c>
      <c r="S22" s="23" t="s">
        <v>61</v>
      </c>
      <c r="V22" s="4"/>
      <c r="W22" s="4" t="s">
        <v>2835</v>
      </c>
      <c r="X22" s="4"/>
      <c r="Y22" s="4"/>
      <c r="AB22" s="5"/>
      <c r="AI22" s="5"/>
      <c r="AJ22" s="5"/>
      <c r="AK22" s="5"/>
      <c r="AL22" s="5"/>
      <c r="AM22" s="5"/>
      <c r="AN22" s="5"/>
      <c r="AO22" s="5"/>
      <c r="AP22" s="320" t="s">
        <v>3558</v>
      </c>
      <c r="AQ22" s="319" t="str">
        <f ca="1">BR119</f>
        <v/>
      </c>
      <c r="AR22" s="323" t="str">
        <f>BS127</f>
        <v/>
      </c>
      <c r="AS22" s="324"/>
      <c r="AT22" s="320" t="s">
        <v>2780</v>
      </c>
      <c r="AU22" s="319" t="str">
        <f>CA119</f>
        <v/>
      </c>
      <c r="AV22" s="5"/>
      <c r="AW22" s="5"/>
      <c r="AX22" s="5"/>
      <c r="AY22" s="54"/>
      <c r="AZ22" s="5"/>
      <c r="BA22" s="5"/>
      <c r="BB22" s="5"/>
      <c r="BC22" s="5"/>
      <c r="BD22" s="97"/>
      <c r="BE22" s="1" t="s">
        <v>2819</v>
      </c>
      <c r="BF22" s="6">
        <f>IF(BF21=BG21,5,BF20)</f>
        <v>1</v>
      </c>
      <c r="BN22" s="97"/>
      <c r="BO22" s="166"/>
      <c r="BQ22" s="38" t="s">
        <v>2794</v>
      </c>
      <c r="BR22" s="128"/>
      <c r="BS22" s="128" t="s">
        <v>2823</v>
      </c>
      <c r="BT22" s="128"/>
      <c r="BU22" s="127"/>
      <c r="BV22" s="128"/>
      <c r="BW22" s="128"/>
      <c r="BX22" s="128"/>
      <c r="BY22" s="128"/>
      <c r="CJ22" s="123"/>
      <c r="CK22" s="38"/>
      <c r="CL22" s="128"/>
      <c r="CM22" s="127"/>
      <c r="CN22" s="38"/>
      <c r="CO22" s="128"/>
      <c r="CP22" s="127"/>
      <c r="CQ22" s="6"/>
      <c r="CR22" s="138"/>
      <c r="CS22" s="133" t="s">
        <v>2863</v>
      </c>
      <c r="CT22" s="65">
        <f>BF90</f>
        <v>2000</v>
      </c>
      <c r="CW22" s="170"/>
      <c r="CY22" s="108" t="s">
        <v>2898</v>
      </c>
      <c r="DC22" s="182"/>
      <c r="DE22" s="1" t="s">
        <v>2953</v>
      </c>
      <c r="DF22" s="404">
        <f>IF(DF12&lt;10,DF12,0)</f>
        <v>0</v>
      </c>
      <c r="DG22" s="1" t="s">
        <v>2932</v>
      </c>
      <c r="DH22" s="405">
        <f>DH13+DH14+DH15+DH16+DH17+DH18+DH19+DH20+DH21</f>
        <v>0</v>
      </c>
      <c r="DI22" s="1" t="s">
        <v>2932</v>
      </c>
      <c r="DJ22" s="170">
        <f>DJ13+DJ14+DJ15+DJ16+DJ17+DJ18+DJ19+DJ20+DJ21</f>
        <v>0</v>
      </c>
      <c r="DK22" s="182"/>
      <c r="DM22" s="2"/>
      <c r="DN22" s="37" t="s">
        <v>3293</v>
      </c>
      <c r="DO22" s="37" t="s">
        <v>3293</v>
      </c>
      <c r="DP22" s="37" t="s">
        <v>101</v>
      </c>
      <c r="DQ22" s="37" t="s">
        <v>3292</v>
      </c>
      <c r="DR22" s="37" t="s">
        <v>102</v>
      </c>
      <c r="DS22" s="22"/>
      <c r="DT22" s="6"/>
      <c r="DW22" s="1" t="s">
        <v>3294</v>
      </c>
      <c r="DX22" s="423">
        <f>LOOKUP(DX20,(DO13:DO257),(DP13:DP257))</f>
        <v>0</v>
      </c>
      <c r="DZ22" s="48"/>
      <c r="ED22" s="3"/>
      <c r="EE22" s="3"/>
      <c r="EF22" s="3"/>
      <c r="EG22" s="3"/>
      <c r="EH22" s="484" t="s">
        <v>4060</v>
      </c>
      <c r="EI22" s="484"/>
      <c r="EJ22" s="569" t="str">
        <f>AQ24</f>
        <v/>
      </c>
      <c r="EK22" s="476"/>
      <c r="EL22" s="476"/>
      <c r="EM22" s="476"/>
      <c r="EN22" s="476" t="s">
        <v>3582</v>
      </c>
      <c r="EO22" s="569" t="str">
        <f>AU24</f>
        <v/>
      </c>
      <c r="EP22" s="3"/>
      <c r="EQ22" s="3"/>
      <c r="ER22" s="3"/>
      <c r="ET22" s="97"/>
      <c r="EU22" s="1" t="s">
        <v>2819</v>
      </c>
      <c r="EV22" s="6">
        <f>IF(EV21=EW21,5,EV20)</f>
        <v>3</v>
      </c>
      <c r="FH22" s="97"/>
      <c r="FK22" s="135"/>
      <c r="FY22" s="2"/>
      <c r="FZ22" s="37" t="s">
        <v>3290</v>
      </c>
      <c r="GA22" s="37" t="s">
        <v>3290</v>
      </c>
      <c r="GB22" s="37" t="s">
        <v>3208</v>
      </c>
      <c r="GC22" s="37" t="s">
        <v>3667</v>
      </c>
      <c r="GD22" s="37" t="s">
        <v>72</v>
      </c>
      <c r="GF22" s="22"/>
      <c r="GI22" s="542" t="s">
        <v>3668</v>
      </c>
      <c r="GJ22" s="542">
        <f>IF(GJ21=GJ18,1,GJ21)</f>
        <v>1</v>
      </c>
      <c r="GL22" s="48"/>
      <c r="GV22" s="128"/>
      <c r="GW22" s="4"/>
      <c r="GX22" s="37" t="s">
        <v>332</v>
      </c>
      <c r="GY22" s="37" t="s">
        <v>332</v>
      </c>
      <c r="GZ22" s="37" t="s">
        <v>332</v>
      </c>
      <c r="HA22" s="37" t="s">
        <v>332</v>
      </c>
      <c r="HB22" s="37" t="s">
        <v>330</v>
      </c>
      <c r="HC22" s="37"/>
      <c r="HG22" s="236" t="s">
        <v>3669</v>
      </c>
      <c r="HH22" s="543" t="str">
        <f>IF(HH21=0,"",HH21)</f>
        <v/>
      </c>
      <c r="HJ22" s="48"/>
      <c r="HK22" s="170"/>
      <c r="HM22" s="1" t="s">
        <v>3670</v>
      </c>
      <c r="HN22" s="1">
        <f>IF(HN19=HM22,1,0)</f>
        <v>0</v>
      </c>
      <c r="HT22" s="128"/>
      <c r="HU22" s="534">
        <v>6</v>
      </c>
      <c r="HV22" s="534" t="s">
        <v>3671</v>
      </c>
      <c r="IB22" s="170"/>
      <c r="IC22" s="405"/>
      <c r="ID22" s="527" t="s">
        <v>523</v>
      </c>
      <c r="IE22" s="528" t="s">
        <v>523</v>
      </c>
      <c r="IF22" s="37" t="s">
        <v>3672</v>
      </c>
      <c r="IG22" s="37"/>
      <c r="IH22" s="37"/>
      <c r="II22" s="1"/>
      <c r="IJ22" s="175" t="s">
        <v>3673</v>
      </c>
      <c r="IK22" s="406" t="str">
        <f>IF(IK21="ZZZZ",IK21,IK20)</f>
        <v>ZZZ</v>
      </c>
      <c r="IL22" s="175"/>
      <c r="IM22" s="405"/>
      <c r="IN22" s="600"/>
      <c r="IO22" s="529" t="str">
        <f>IO21</f>
        <v/>
      </c>
      <c r="IP22" s="536" t="s">
        <v>3635</v>
      </c>
      <c r="IQ22" s="1"/>
      <c r="IR22" s="1"/>
      <c r="JC22" s="600"/>
      <c r="JD22" s="135"/>
    </row>
    <row r="23" spans="9:264" ht="20.25">
      <c r="I23" s="22"/>
      <c r="J23" s="156" t="s">
        <v>62</v>
      </c>
      <c r="K23" s="156" t="s">
        <v>62</v>
      </c>
      <c r="L23" s="22">
        <v>20</v>
      </c>
      <c r="M23" s="22">
        <v>11</v>
      </c>
      <c r="N23" s="22">
        <v>18.3</v>
      </c>
      <c r="O23" s="22">
        <v>0</v>
      </c>
      <c r="P23" s="22">
        <v>-49</v>
      </c>
      <c r="Q23" s="22">
        <v>-17</v>
      </c>
      <c r="R23" s="22" t="s">
        <v>63</v>
      </c>
      <c r="S23" s="23" t="s">
        <v>64</v>
      </c>
      <c r="V23" s="4"/>
      <c r="W23" s="117"/>
      <c r="X23" s="397" t="s">
        <v>2836</v>
      </c>
      <c r="Y23" s="117"/>
      <c r="AB23" s="5"/>
      <c r="AC23" s="203"/>
      <c r="AD23" s="203"/>
      <c r="AE23" s="203"/>
      <c r="AF23" s="203"/>
      <c r="AG23" s="203"/>
      <c r="AI23" s="5"/>
      <c r="AJ23" s="5"/>
      <c r="AK23" s="5"/>
      <c r="AL23" s="5"/>
      <c r="AM23" s="5"/>
      <c r="AN23" s="5"/>
      <c r="AO23" s="5"/>
      <c r="AP23" s="320" t="s">
        <v>3563</v>
      </c>
      <c r="AQ23" s="371" t="str">
        <f>BS119</f>
        <v/>
      </c>
      <c r="AR23" s="325" t="s">
        <v>2781</v>
      </c>
      <c r="AS23" s="326" t="str">
        <f>BS126</f>
        <v/>
      </c>
      <c r="AT23" s="320" t="s">
        <v>2782</v>
      </c>
      <c r="AU23" s="371" t="str">
        <f>CB119</f>
        <v/>
      </c>
      <c r="AV23" s="5"/>
      <c r="AW23" s="5"/>
      <c r="AX23" s="5"/>
      <c r="AY23" s="54"/>
      <c r="AZ23" s="5"/>
      <c r="BA23" s="5"/>
      <c r="BB23" s="5"/>
      <c r="BC23" s="5"/>
      <c r="BD23" s="97"/>
      <c r="BE23" s="1" t="s">
        <v>2820</v>
      </c>
      <c r="BF23" s="1">
        <f>IF(BF22&gt;4,5,BF22)</f>
        <v>1</v>
      </c>
      <c r="BN23" s="97"/>
      <c r="BO23" s="166"/>
      <c r="BQ23" s="133" t="s">
        <v>2893</v>
      </c>
      <c r="BR23" s="128"/>
      <c r="BS23" s="168" t="s">
        <v>2893</v>
      </c>
      <c r="BT23" s="128"/>
      <c r="BU23" s="127"/>
      <c r="BV23" s="128"/>
      <c r="BW23" s="128"/>
      <c r="BX23" s="128"/>
      <c r="BY23" s="128"/>
      <c r="CJ23" s="123"/>
      <c r="CK23" s="38" t="s">
        <v>3023</v>
      </c>
      <c r="CL23" s="65" t="str">
        <f>CL19</f>
        <v/>
      </c>
      <c r="CM23" s="127"/>
      <c r="CN23" s="38" t="s">
        <v>3023</v>
      </c>
      <c r="CO23" s="65" t="str">
        <f>CO19</f>
        <v/>
      </c>
      <c r="CP23" s="127"/>
      <c r="CQ23" s="6"/>
      <c r="CR23" s="138"/>
      <c r="CS23" s="38"/>
      <c r="CT23" s="127" t="b">
        <v>0</v>
      </c>
      <c r="CW23" s="170"/>
      <c r="CY23" s="108" t="s">
        <v>2899</v>
      </c>
      <c r="CZ23" s="65">
        <f>CZ14</f>
        <v>0</v>
      </c>
      <c r="DC23" s="182"/>
      <c r="DG23" s="1" t="s">
        <v>2934</v>
      </c>
      <c r="DH23" s="406">
        <f>DH22-DJ22</f>
        <v>0</v>
      </c>
      <c r="DK23" s="182"/>
      <c r="DM23" s="2"/>
      <c r="DN23" s="37" t="s">
        <v>101</v>
      </c>
      <c r="DO23" s="37" t="s">
        <v>101</v>
      </c>
      <c r="DP23" s="37" t="s">
        <v>101</v>
      </c>
      <c r="DQ23" s="37" t="s">
        <v>3292</v>
      </c>
      <c r="DR23" s="37" t="s">
        <v>102</v>
      </c>
      <c r="DS23" s="22"/>
      <c r="DT23" s="6"/>
      <c r="DW23" s="1" t="s">
        <v>3295</v>
      </c>
      <c r="DX23" s="313">
        <f>LOOKUP(DX20,(DO13:DO257),(DQ13:DQ257))</f>
        <v>0</v>
      </c>
      <c r="DZ23" s="48"/>
      <c r="ED23" s="3"/>
      <c r="EE23" s="3"/>
      <c r="EF23" s="3"/>
      <c r="EG23" s="3"/>
      <c r="EH23" s="484" t="s">
        <v>4107</v>
      </c>
      <c r="EI23" s="484"/>
      <c r="EJ23" s="476"/>
      <c r="EK23" s="476"/>
      <c r="EL23" s="476"/>
      <c r="EM23" s="476"/>
      <c r="EN23" s="476"/>
      <c r="EO23" s="476"/>
      <c r="EP23" s="3"/>
      <c r="EQ23" s="3"/>
      <c r="ER23" s="3"/>
      <c r="ET23" s="97"/>
      <c r="EU23" s="1" t="s">
        <v>2820</v>
      </c>
      <c r="EV23" s="1">
        <f>IF(EV22&gt;4,5,EV22)</f>
        <v>3</v>
      </c>
      <c r="FH23" s="97"/>
      <c r="FK23" s="135"/>
      <c r="FY23" s="2"/>
      <c r="FZ23" s="37" t="s">
        <v>3208</v>
      </c>
      <c r="GA23" s="37" t="s">
        <v>3208</v>
      </c>
      <c r="GB23" s="37" t="s">
        <v>3208</v>
      </c>
      <c r="GC23" s="37" t="s">
        <v>3667</v>
      </c>
      <c r="GD23" s="37" t="s">
        <v>72</v>
      </c>
      <c r="GF23" s="22"/>
      <c r="GI23" s="1" t="s">
        <v>3061</v>
      </c>
      <c r="GJ23" s="1" t="b">
        <f>ISNUMBER(GJ22)</f>
        <v>1</v>
      </c>
      <c r="GK23" s="1" t="b">
        <v>0</v>
      </c>
      <c r="GL23" s="48"/>
      <c r="GV23" s="128"/>
      <c r="GW23" s="4"/>
      <c r="GX23" s="37" t="s">
        <v>999</v>
      </c>
      <c r="GY23" s="37" t="s">
        <v>999</v>
      </c>
      <c r="GZ23" s="37" t="s">
        <v>1000</v>
      </c>
      <c r="HA23" s="37" t="s">
        <v>999</v>
      </c>
      <c r="HB23" s="37" t="s">
        <v>997</v>
      </c>
      <c r="HC23" s="37"/>
      <c r="HG23" s="1" t="s">
        <v>3675</v>
      </c>
      <c r="HH23" s="1">
        <f ca="1">LOOKUP(HH20,(GX17:GX93),(HA17:HA92))</f>
        <v>0</v>
      </c>
      <c r="HJ23" s="48"/>
      <c r="HK23" s="170"/>
      <c r="HM23" s="1" t="s">
        <v>3676</v>
      </c>
      <c r="HN23" s="1">
        <f>IF(HN19=HM23,1,0)</f>
        <v>0</v>
      </c>
      <c r="HT23" s="128"/>
      <c r="HU23" s="534">
        <v>7</v>
      </c>
      <c r="HV23" s="534" t="s">
        <v>3677</v>
      </c>
      <c r="IB23" s="170"/>
      <c r="IC23" s="405"/>
      <c r="ID23" s="527" t="s">
        <v>289</v>
      </c>
      <c r="IE23" s="528" t="s">
        <v>289</v>
      </c>
      <c r="IF23" s="37" t="s">
        <v>3678</v>
      </c>
      <c r="IG23" s="37"/>
      <c r="IH23" s="37"/>
      <c r="II23" s="1"/>
      <c r="IJ23" s="1" t="s">
        <v>3679</v>
      </c>
      <c r="IK23" s="118" t="str">
        <f>IF(IK21=IK22,IK21,"ZZ")</f>
        <v>ZZZ</v>
      </c>
      <c r="IL23" s="175"/>
      <c r="IM23" s="405"/>
      <c r="IN23" s="600"/>
      <c r="IQ23" s="601"/>
      <c r="JC23" s="600"/>
      <c r="JD23" s="135"/>
    </row>
    <row r="24" spans="9:264">
      <c r="I24" s="22"/>
      <c r="J24" s="156" t="s">
        <v>65</v>
      </c>
      <c r="K24" s="156" t="s">
        <v>65</v>
      </c>
      <c r="L24" s="22">
        <v>19</v>
      </c>
      <c r="M24" s="22">
        <v>6</v>
      </c>
      <c r="N24" s="22">
        <v>14.9</v>
      </c>
      <c r="O24" s="22">
        <v>-4</v>
      </c>
      <c r="P24" s="22">
        <v>-52</v>
      </c>
      <c r="Q24" s="22">
        <v>-57</v>
      </c>
      <c r="R24" s="22" t="s">
        <v>66</v>
      </c>
      <c r="S24" s="23" t="s">
        <v>67</v>
      </c>
      <c r="V24" s="4"/>
      <c r="X24" s="168" t="s">
        <v>2837</v>
      </c>
      <c r="AB24" s="5"/>
      <c r="AI24" s="5"/>
      <c r="AJ24" s="5"/>
      <c r="AK24" s="5"/>
      <c r="AL24" s="5"/>
      <c r="AM24" s="5"/>
      <c r="AN24" s="5"/>
      <c r="AO24" s="5"/>
      <c r="AP24" s="320" t="s">
        <v>3564</v>
      </c>
      <c r="AQ24" s="370" t="str">
        <f>BT119</f>
        <v/>
      </c>
      <c r="AR24" s="320"/>
      <c r="AS24" s="320"/>
      <c r="AT24" s="320" t="s">
        <v>2783</v>
      </c>
      <c r="AU24" s="370" t="str">
        <f>CC119</f>
        <v/>
      </c>
      <c r="AV24" s="5"/>
      <c r="AW24" s="5"/>
      <c r="AX24" s="5"/>
      <c r="AY24" s="54"/>
      <c r="AZ24" s="5"/>
      <c r="BA24" s="5"/>
      <c r="BB24" s="5"/>
      <c r="BC24" s="5"/>
      <c r="BD24" s="97"/>
      <c r="BE24" s="1" t="s">
        <v>2821</v>
      </c>
      <c r="BF24" s="141">
        <f>IF(BF23&lt;1,5,BF23)</f>
        <v>1</v>
      </c>
      <c r="BN24" s="97"/>
      <c r="BO24" s="166"/>
      <c r="BQ24" s="38" t="s">
        <v>10</v>
      </c>
      <c r="BR24" s="65" t="str">
        <f>AD38</f>
        <v/>
      </c>
      <c r="BS24" s="128" t="s">
        <v>10</v>
      </c>
      <c r="BT24" s="65" t="str">
        <f>AD66</f>
        <v/>
      </c>
      <c r="BU24" s="127"/>
      <c r="BV24" s="128"/>
      <c r="BW24" s="128"/>
      <c r="BX24" s="128"/>
      <c r="BY24" s="128"/>
      <c r="CJ24" s="123"/>
      <c r="CK24" s="38" t="s">
        <v>2818</v>
      </c>
      <c r="CL24" s="128" t="b">
        <f>ISNUMBER(CL23)</f>
        <v>0</v>
      </c>
      <c r="CM24" s="127" t="b">
        <v>0</v>
      </c>
      <c r="CN24" s="38" t="s">
        <v>2818</v>
      </c>
      <c r="CO24" s="128" t="b">
        <f>ISNUMBER(CO23)</f>
        <v>0</v>
      </c>
      <c r="CP24" s="127" t="b">
        <v>0</v>
      </c>
      <c r="CQ24" s="6"/>
      <c r="CR24" s="138"/>
      <c r="CS24" s="38" t="s">
        <v>3061</v>
      </c>
      <c r="CT24" s="127" t="b">
        <f>ISNUMBER(CT22)</f>
        <v>1</v>
      </c>
      <c r="CW24" s="170"/>
      <c r="CY24" s="108" t="s">
        <v>2900</v>
      </c>
      <c r="CZ24" s="65">
        <f>CZ17</f>
        <v>0</v>
      </c>
      <c r="DC24" s="182"/>
      <c r="DD24" s="175"/>
      <c r="DE24" s="175" t="s">
        <v>3000</v>
      </c>
      <c r="DF24" s="65">
        <f>DF49</f>
        <v>0</v>
      </c>
      <c r="DH24" s="175"/>
      <c r="DK24" s="182"/>
      <c r="DM24" s="2"/>
      <c r="DN24" s="37" t="s">
        <v>3296</v>
      </c>
      <c r="DO24" s="37" t="s">
        <v>3296</v>
      </c>
      <c r="DP24" s="37" t="s">
        <v>200</v>
      </c>
      <c r="DQ24" s="37" t="s">
        <v>3574</v>
      </c>
      <c r="DR24" s="37" t="s">
        <v>201</v>
      </c>
      <c r="DS24" s="22"/>
      <c r="DT24" s="6"/>
      <c r="DW24" s="1" t="s">
        <v>3297</v>
      </c>
      <c r="DX24" s="424">
        <f>LOOKUP(DX20,(DO13:DO257),(DR13:DR257))</f>
        <v>0</v>
      </c>
      <c r="DZ24" s="48"/>
      <c r="ED24" s="3"/>
      <c r="EE24" s="3"/>
      <c r="EF24" s="3"/>
      <c r="EG24" s="3"/>
      <c r="EH24" s="475" t="s">
        <v>4086</v>
      </c>
      <c r="EI24" s="476"/>
      <c r="EJ24" s="476"/>
      <c r="EK24" s="476"/>
      <c r="EL24" s="476"/>
      <c r="EM24" s="476"/>
      <c r="EN24" s="475" t="s">
        <v>4087</v>
      </c>
      <c r="EO24" s="476"/>
      <c r="EP24" s="3"/>
      <c r="EQ24" s="3"/>
      <c r="ER24" s="3"/>
      <c r="ET24" s="97"/>
      <c r="EU24" s="1" t="s">
        <v>2821</v>
      </c>
      <c r="EV24" s="141">
        <f>IF(EV23&lt;1,5,EV23)</f>
        <v>3</v>
      </c>
      <c r="FH24" s="97"/>
      <c r="FK24" s="135"/>
      <c r="FY24" s="2"/>
      <c r="FZ24" s="37" t="s">
        <v>3291</v>
      </c>
      <c r="GA24" s="37" t="s">
        <v>3291</v>
      </c>
      <c r="GB24" s="37" t="s">
        <v>101</v>
      </c>
      <c r="GC24" s="37" t="s">
        <v>3680</v>
      </c>
      <c r="GD24" s="37" t="s">
        <v>104</v>
      </c>
      <c r="GF24" s="22"/>
      <c r="GI24" s="1" t="s">
        <v>3520</v>
      </c>
      <c r="GJ24" s="186" t="str">
        <f>IF(GJ23=GK23,"ΩΩΩΩ",GJ20)</f>
        <v>Α</v>
      </c>
      <c r="GL24" s="48"/>
      <c r="GV24" s="128"/>
      <c r="GW24" s="4"/>
      <c r="GX24" s="37" t="s">
        <v>522</v>
      </c>
      <c r="GY24" s="37" t="s">
        <v>522</v>
      </c>
      <c r="GZ24" s="37" t="s">
        <v>523</v>
      </c>
      <c r="HA24" s="37" t="s">
        <v>522</v>
      </c>
      <c r="HB24" s="37" t="s">
        <v>520</v>
      </c>
      <c r="HC24" s="37"/>
      <c r="HG24" s="236" t="s">
        <v>3669</v>
      </c>
      <c r="HH24" s="166" t="str">
        <f ca="1">IF(HH23=0,"",HH23)</f>
        <v/>
      </c>
      <c r="HJ24" s="48"/>
      <c r="HK24" s="170"/>
      <c r="HM24" s="1" t="s">
        <v>3681</v>
      </c>
      <c r="HN24" s="1">
        <f>IF(HN19=HM24,1,0)</f>
        <v>0</v>
      </c>
      <c r="HT24" s="128"/>
      <c r="HU24" s="534">
        <v>8</v>
      </c>
      <c r="HV24" s="534" t="s">
        <v>3682</v>
      </c>
      <c r="IB24" s="170"/>
      <c r="IC24" s="405"/>
      <c r="ID24" s="527" t="s">
        <v>749</v>
      </c>
      <c r="IE24" s="528" t="s">
        <v>749</v>
      </c>
      <c r="IF24" s="37" t="s">
        <v>3683</v>
      </c>
      <c r="IG24" s="37"/>
      <c r="IH24" s="37"/>
      <c r="II24" s="1"/>
      <c r="IJ24" s="1" t="s">
        <v>3684</v>
      </c>
      <c r="IK24" s="1"/>
      <c r="IL24" s="175"/>
      <c r="IM24" s="405"/>
      <c r="IN24" s="600"/>
      <c r="JC24" s="600"/>
      <c r="JD24" s="135"/>
    </row>
    <row r="25" spans="9:264">
      <c r="I25" s="24" t="s">
        <v>68</v>
      </c>
      <c r="J25" s="157" t="s">
        <v>69</v>
      </c>
      <c r="K25" s="157" t="s">
        <v>69</v>
      </c>
      <c r="L25" s="24" t="s">
        <v>39</v>
      </c>
      <c r="M25" s="24" t="s">
        <v>70</v>
      </c>
      <c r="N25" s="24" t="s">
        <v>70</v>
      </c>
      <c r="O25" s="24" t="s">
        <v>40</v>
      </c>
      <c r="P25" s="24" t="s">
        <v>71</v>
      </c>
      <c r="Q25" s="24" t="s">
        <v>72</v>
      </c>
      <c r="R25" s="24" t="s">
        <v>73</v>
      </c>
      <c r="S25" s="24" t="s">
        <v>71</v>
      </c>
      <c r="V25" s="4"/>
      <c r="X25" s="168" t="s">
        <v>2849</v>
      </c>
      <c r="Y25" s="364" t="str">
        <f>Y20</f>
        <v/>
      </c>
      <c r="AB25" s="5"/>
      <c r="AC25" s="149" t="s">
        <v>3020</v>
      </c>
      <c r="AI25" s="5"/>
      <c r="AJ25" s="5"/>
      <c r="AK25" s="5"/>
      <c r="AL25" s="5"/>
      <c r="AM25" s="5"/>
      <c r="AN25" s="5"/>
      <c r="AO25" s="5"/>
      <c r="AP25" s="320" t="s">
        <v>4106</v>
      </c>
      <c r="AQ25" s="374" t="str">
        <f>BS131</f>
        <v/>
      </c>
      <c r="AR25" s="320"/>
      <c r="AS25" s="320"/>
      <c r="AT25" s="320"/>
      <c r="AU25" s="320"/>
      <c r="AV25" s="5"/>
      <c r="AW25" s="5"/>
      <c r="AX25" s="5"/>
      <c r="AY25" s="54"/>
      <c r="AZ25" s="5"/>
      <c r="BA25" s="5"/>
      <c r="BB25" s="5"/>
      <c r="BC25" s="5"/>
      <c r="BD25" s="97"/>
      <c r="BN25" s="97"/>
      <c r="BO25" s="166"/>
      <c r="BQ25" s="38" t="s">
        <v>11</v>
      </c>
      <c r="BR25" s="65" t="str">
        <f>AD39</f>
        <v/>
      </c>
      <c r="BS25" s="128" t="s">
        <v>11</v>
      </c>
      <c r="BT25" s="65" t="str">
        <f>AD67</f>
        <v/>
      </c>
      <c r="BU25" s="127"/>
      <c r="BV25" s="128"/>
      <c r="BW25" s="128"/>
      <c r="BX25" s="128"/>
      <c r="BY25" s="128"/>
      <c r="CJ25" s="123"/>
      <c r="CK25" s="38" t="s">
        <v>2855</v>
      </c>
      <c r="CL25" s="129">
        <f>IF(CL24=CM24,0,CL23)</f>
        <v>0</v>
      </c>
      <c r="CM25" s="127"/>
      <c r="CN25" s="38" t="s">
        <v>2855</v>
      </c>
      <c r="CO25" s="129">
        <f>IF(CO24=CP24,0,CO23)</f>
        <v>0</v>
      </c>
      <c r="CP25" s="127"/>
      <c r="CQ25" s="6"/>
      <c r="CR25" s="138"/>
      <c r="CS25" s="38" t="s">
        <v>3062</v>
      </c>
      <c r="CT25" s="223">
        <f>IF(CT24=CT23,2000,CT22)</f>
        <v>2000</v>
      </c>
      <c r="CW25" s="170"/>
      <c r="CY25" s="1" t="s">
        <v>2901</v>
      </c>
      <c r="CZ25" s="1">
        <f>CZ23-CZ24</f>
        <v>0</v>
      </c>
      <c r="DC25" s="182"/>
      <c r="DE25" s="402" t="s">
        <v>3001</v>
      </c>
      <c r="DF25" s="195">
        <f>IF(DF24&lt;10,DF24,DH23)</f>
        <v>0</v>
      </c>
      <c r="DG25" s="403" t="s">
        <v>3002</v>
      </c>
      <c r="DH25" s="402"/>
      <c r="DI25" s="402"/>
      <c r="DJ25" s="402"/>
      <c r="DK25" s="182"/>
      <c r="DM25" s="2"/>
      <c r="DN25" s="37" t="s">
        <v>200</v>
      </c>
      <c r="DO25" s="37" t="s">
        <v>200</v>
      </c>
      <c r="DP25" s="37" t="s">
        <v>200</v>
      </c>
      <c r="DQ25" s="37" t="s">
        <v>3574</v>
      </c>
      <c r="DR25" s="37" t="s">
        <v>201</v>
      </c>
      <c r="DS25" s="22"/>
      <c r="DT25" s="6"/>
      <c r="DW25" s="1" t="s">
        <v>3298</v>
      </c>
      <c r="DX25" s="200">
        <f>LOOKUP(DX20,(DO13:DO257),(DS13:DS257))</f>
        <v>0</v>
      </c>
      <c r="DZ25" s="48"/>
      <c r="ED25" s="3"/>
      <c r="EE25" s="3"/>
      <c r="EF25" s="3"/>
      <c r="EG25" s="3"/>
      <c r="EH25" s="476" t="s">
        <v>3583</v>
      </c>
      <c r="EI25" s="476"/>
      <c r="EJ25" s="489" t="str">
        <f>AQ27</f>
        <v/>
      </c>
      <c r="EK25" s="481" t="s">
        <v>4102</v>
      </c>
      <c r="EL25" s="482"/>
      <c r="EM25" s="572" t="str">
        <f>AS27</f>
        <v/>
      </c>
      <c r="EN25" s="476" t="s">
        <v>4063</v>
      </c>
      <c r="EO25" s="480" t="str">
        <f>AU27</f>
        <v/>
      </c>
      <c r="EP25" s="3"/>
      <c r="EQ25" s="3"/>
      <c r="ER25" s="3"/>
      <c r="ET25" s="97"/>
      <c r="FH25" s="97"/>
      <c r="FK25" s="135"/>
      <c r="FY25" s="2"/>
      <c r="FZ25" s="37" t="s">
        <v>3209</v>
      </c>
      <c r="GA25" s="37" t="s">
        <v>3209</v>
      </c>
      <c r="GB25" s="37" t="s">
        <v>101</v>
      </c>
      <c r="GC25" s="37" t="s">
        <v>3686</v>
      </c>
      <c r="GD25" s="37" t="s">
        <v>104</v>
      </c>
      <c r="GF25" s="22"/>
      <c r="GI25" s="442" t="s">
        <v>3521</v>
      </c>
      <c r="GL25" s="48"/>
      <c r="GV25" s="128"/>
      <c r="GW25" s="4"/>
      <c r="GX25" s="37" t="s">
        <v>288</v>
      </c>
      <c r="GY25" s="37" t="s">
        <v>288</v>
      </c>
      <c r="GZ25" s="37" t="s">
        <v>289</v>
      </c>
      <c r="HA25" s="37" t="s">
        <v>288</v>
      </c>
      <c r="HB25" s="37" t="s">
        <v>286</v>
      </c>
      <c r="HC25" s="37"/>
      <c r="HG25" s="1" t="s">
        <v>3687</v>
      </c>
      <c r="HH25" s="1">
        <f>LOOKUP(HH20,(GX17:GX92),(HB17:HB92))</f>
        <v>0</v>
      </c>
      <c r="HJ25" s="48"/>
      <c r="HK25" s="170"/>
      <c r="HM25" s="1" t="s">
        <v>3688</v>
      </c>
      <c r="HN25" s="170">
        <f>HN20+HN21+HN22+HN23+HN24</f>
        <v>0</v>
      </c>
      <c r="HT25" s="128"/>
      <c r="HU25" s="534">
        <v>9</v>
      </c>
      <c r="HV25" s="534" t="s">
        <v>3689</v>
      </c>
      <c r="IB25" s="170"/>
      <c r="IC25" s="405"/>
      <c r="ID25" s="527" t="s">
        <v>72</v>
      </c>
      <c r="IE25" s="528" t="s">
        <v>72</v>
      </c>
      <c r="IF25" s="37" t="s">
        <v>3690</v>
      </c>
      <c r="IG25" s="37"/>
      <c r="IH25" s="37"/>
      <c r="II25" s="1"/>
      <c r="IJ25" s="1" t="s">
        <v>3691</v>
      </c>
      <c r="IK25" s="1">
        <f>LOOKUP(IK23,(ID14:ID89),(IF14:IF89))</f>
        <v>0</v>
      </c>
      <c r="IL25" s="175"/>
      <c r="IM25" s="405"/>
      <c r="IN25" s="178"/>
      <c r="IO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78"/>
      <c r="JD25" s="135"/>
    </row>
    <row r="26" spans="9:264" ht="15.75">
      <c r="I26" s="22"/>
      <c r="J26" s="156" t="s">
        <v>74</v>
      </c>
      <c r="K26" s="156" t="s">
        <v>74</v>
      </c>
      <c r="L26" s="22">
        <v>20</v>
      </c>
      <c r="M26" s="22">
        <v>18</v>
      </c>
      <c r="N26" s="22">
        <v>3.3</v>
      </c>
      <c r="O26" s="22">
        <v>-12</v>
      </c>
      <c r="P26" s="22">
        <v>-32</v>
      </c>
      <c r="Q26" s="22">
        <v>-41</v>
      </c>
      <c r="R26" s="22" t="s">
        <v>75</v>
      </c>
      <c r="S26" s="23" t="s">
        <v>76</v>
      </c>
      <c r="V26" s="4"/>
      <c r="X26" s="6" t="s">
        <v>3202</v>
      </c>
      <c r="Y26" s="6" t="str">
        <f>IF(Y25=Y24,"ωωωωωω",Y25)</f>
        <v>ωωωωωω</v>
      </c>
      <c r="AB26" s="5"/>
      <c r="AI26" s="5"/>
      <c r="AJ26" s="5"/>
      <c r="AK26" s="5"/>
      <c r="AL26" s="5"/>
      <c r="AM26" s="5"/>
      <c r="AN26" s="5"/>
      <c r="AO26" s="5"/>
      <c r="AP26" s="314" t="s">
        <v>3560</v>
      </c>
      <c r="AQ26" s="314"/>
      <c r="AR26" s="314" t="s">
        <v>3524</v>
      </c>
      <c r="AS26" s="320"/>
      <c r="AT26" s="314" t="s">
        <v>3522</v>
      </c>
      <c r="AU26" s="314" t="s">
        <v>2798</v>
      </c>
      <c r="AV26" s="5"/>
      <c r="AW26" s="5"/>
      <c r="AX26" s="5"/>
      <c r="AY26" s="54"/>
      <c r="AZ26" s="5"/>
      <c r="BA26" s="5"/>
      <c r="BB26" s="5"/>
      <c r="BC26" s="5"/>
      <c r="BD26" s="97"/>
      <c r="BE26" s="206" t="s">
        <v>2822</v>
      </c>
      <c r="BF26" s="126"/>
      <c r="BN26" s="97"/>
      <c r="BO26" s="166"/>
      <c r="BQ26" s="38" t="s">
        <v>2894</v>
      </c>
      <c r="BR26" s="65" t="str">
        <f>AD40</f>
        <v/>
      </c>
      <c r="BS26" s="128" t="s">
        <v>2894</v>
      </c>
      <c r="BT26" s="65" t="str">
        <f>AD68</f>
        <v/>
      </c>
      <c r="BU26" s="127"/>
      <c r="BV26" s="128"/>
      <c r="BW26" s="128"/>
      <c r="BX26" s="128"/>
      <c r="BY26" s="128"/>
      <c r="CJ26" s="123"/>
      <c r="CK26" s="130" t="s">
        <v>3025</v>
      </c>
      <c r="CL26" s="131">
        <f>IF(CL24=CM24,1,0)</f>
        <v>1</v>
      </c>
      <c r="CM26" s="127"/>
      <c r="CN26" s="130" t="s">
        <v>3025</v>
      </c>
      <c r="CO26" s="131">
        <f>IF(CO24=CP24,1,0)</f>
        <v>1</v>
      </c>
      <c r="CP26" s="127"/>
      <c r="CQ26" s="6"/>
      <c r="CR26" s="138"/>
      <c r="CS26" s="133" t="s">
        <v>3063</v>
      </c>
      <c r="CT26" s="65" t="str">
        <f>CL68</f>
        <v/>
      </c>
      <c r="CW26" s="170"/>
      <c r="CY26" s="1" t="s">
        <v>2902</v>
      </c>
      <c r="CZ26" s="1">
        <f>IF(CZ25&lt;0,0,CZ25)</f>
        <v>0</v>
      </c>
      <c r="DC26" s="182"/>
      <c r="DE26" s="1" t="s">
        <v>2953</v>
      </c>
      <c r="DF26" s="404">
        <f>IF(DF25&lt;10,DF25,0)</f>
        <v>0</v>
      </c>
      <c r="DG26" s="1" t="s">
        <v>2931</v>
      </c>
      <c r="DH26" s="1">
        <f t="shared" ref="DH26:DH34" si="1">IF(DF27=0,DF26,0)</f>
        <v>0</v>
      </c>
      <c r="DI26" s="1" t="s">
        <v>2954</v>
      </c>
      <c r="DJ26" s="170">
        <f>IF(DH26&gt;0,9,0)</f>
        <v>0</v>
      </c>
      <c r="DK26" s="182"/>
      <c r="DM26" s="2"/>
      <c r="DN26" s="37" t="s">
        <v>3299</v>
      </c>
      <c r="DO26" s="37" t="s">
        <v>3299</v>
      </c>
      <c r="DP26" s="37" t="s">
        <v>244</v>
      </c>
      <c r="DQ26" s="37" t="s">
        <v>3300</v>
      </c>
      <c r="DR26" s="37" t="s">
        <v>245</v>
      </c>
      <c r="DS26" s="22"/>
      <c r="DT26" s="6"/>
      <c r="DW26" s="108" t="s">
        <v>2831</v>
      </c>
      <c r="DZ26" s="48"/>
      <c r="ED26" s="3"/>
      <c r="EE26" s="3"/>
      <c r="EF26" s="3"/>
      <c r="EG26" s="3"/>
      <c r="EH26" s="476" t="s">
        <v>3584</v>
      </c>
      <c r="EI26" s="476"/>
      <c r="EJ26" s="489" t="str">
        <f>AQ28</f>
        <v/>
      </c>
      <c r="EK26" s="483" t="str">
        <f>AR28</f>
        <v/>
      </c>
      <c r="EL26" s="484"/>
      <c r="EM26" s="485"/>
      <c r="EN26" s="476" t="s">
        <v>4064</v>
      </c>
      <c r="EO26" s="480" t="str">
        <f>AU28</f>
        <v/>
      </c>
      <c r="EP26" s="3"/>
      <c r="EQ26" s="3"/>
      <c r="ER26" s="3"/>
      <c r="ET26" s="97"/>
      <c r="EU26" s="206" t="s">
        <v>2822</v>
      </c>
      <c r="EV26" s="126"/>
      <c r="FH26" s="97"/>
      <c r="FK26" s="135"/>
      <c r="FY26" s="2"/>
      <c r="FZ26" s="37" t="s">
        <v>3293</v>
      </c>
      <c r="GA26" s="37" t="s">
        <v>3293</v>
      </c>
      <c r="GB26" s="37" t="s">
        <v>101</v>
      </c>
      <c r="GC26" s="37" t="s">
        <v>3680</v>
      </c>
      <c r="GD26" s="37" t="s">
        <v>104</v>
      </c>
      <c r="GF26" s="22"/>
      <c r="GI26" s="1" t="s">
        <v>3294</v>
      </c>
      <c r="GJ26" s="423">
        <f>LOOKUP(GJ24,(GA17:GA261),(GB17:GB261))</f>
        <v>0</v>
      </c>
      <c r="GL26" s="48"/>
      <c r="GV26" s="128"/>
      <c r="GW26" s="4"/>
      <c r="GX26" s="37" t="s">
        <v>751</v>
      </c>
      <c r="GY26" s="37" t="s">
        <v>751</v>
      </c>
      <c r="GZ26" s="37" t="s">
        <v>749</v>
      </c>
      <c r="HA26" s="37" t="s">
        <v>751</v>
      </c>
      <c r="HB26" s="37" t="s">
        <v>3219</v>
      </c>
      <c r="HC26" s="37"/>
      <c r="HG26" s="236" t="s">
        <v>3669</v>
      </c>
      <c r="HH26" s="205" t="str">
        <f>IF(HH25=0,"",HH25)</f>
        <v/>
      </c>
      <c r="HJ26" s="48"/>
      <c r="HK26" s="170"/>
      <c r="HM26" s="191">
        <v>2</v>
      </c>
      <c r="HT26" s="128"/>
      <c r="HU26" s="534">
        <v>10</v>
      </c>
      <c r="HV26" s="534" t="s">
        <v>3694</v>
      </c>
      <c r="IB26" s="170"/>
      <c r="IC26" s="405"/>
      <c r="ID26" s="527" t="s">
        <v>2603</v>
      </c>
      <c r="IE26" s="528" t="s">
        <v>2603</v>
      </c>
      <c r="IF26" s="37" t="s">
        <v>3695</v>
      </c>
      <c r="IG26" s="37"/>
      <c r="IH26" s="37"/>
      <c r="II26" s="1"/>
      <c r="IJ26" s="1" t="s">
        <v>3696</v>
      </c>
      <c r="IK26" s="544" t="str">
        <f>IF(IK25=0,"",IK25)</f>
        <v/>
      </c>
      <c r="IL26" s="175"/>
      <c r="IM26" s="405"/>
      <c r="IN26" s="178"/>
      <c r="IO26" s="1"/>
      <c r="IP26" s="540" t="s">
        <v>3654</v>
      </c>
      <c r="IQ26" s="65">
        <f>IO13</f>
        <v>0</v>
      </c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78"/>
      <c r="JD26" s="135"/>
    </row>
    <row r="27" spans="9:264" ht="18.75">
      <c r="I27" s="22"/>
      <c r="J27" s="156" t="s">
        <v>77</v>
      </c>
      <c r="K27" s="156" t="s">
        <v>77</v>
      </c>
      <c r="L27" s="22">
        <v>20</v>
      </c>
      <c r="M27" s="22">
        <v>21</v>
      </c>
      <c r="N27" s="22">
        <v>0.7</v>
      </c>
      <c r="O27" s="22">
        <v>-14</v>
      </c>
      <c r="P27" s="22">
        <v>-46</v>
      </c>
      <c r="Q27" s="22">
        <v>-53</v>
      </c>
      <c r="R27" s="22" t="s">
        <v>78</v>
      </c>
      <c r="S27" s="23" t="s">
        <v>79</v>
      </c>
      <c r="V27" s="4"/>
      <c r="X27" s="128" t="s">
        <v>2838</v>
      </c>
      <c r="Y27" s="6" t="str">
        <f>LOOKUP(Y26,(J5:J917),(K5:K917))</f>
        <v>ωωωωωω</v>
      </c>
      <c r="AB27" s="5"/>
      <c r="AC27" s="146" t="s">
        <v>3021</v>
      </c>
      <c r="AD27" s="117"/>
      <c r="AE27" s="117"/>
      <c r="AF27" s="117"/>
      <c r="AG27" s="117"/>
      <c r="AI27" s="5"/>
      <c r="AJ27" s="5"/>
      <c r="AK27" s="5"/>
      <c r="AL27" s="5"/>
      <c r="AM27" s="5"/>
      <c r="AN27" s="5"/>
      <c r="AO27" s="5"/>
      <c r="AP27" s="320" t="s">
        <v>3561</v>
      </c>
      <c r="AQ27" s="319" t="str">
        <f>BU119</f>
        <v/>
      </c>
      <c r="AR27" s="321" t="s">
        <v>2784</v>
      </c>
      <c r="AS27" s="322" t="str">
        <f>CB125</f>
        <v/>
      </c>
      <c r="AT27" s="320" t="s">
        <v>2785</v>
      </c>
      <c r="AU27" s="319" t="str">
        <f>CD119</f>
        <v/>
      </c>
      <c r="AV27" s="5"/>
      <c r="AW27" s="5"/>
      <c r="AX27" s="5"/>
      <c r="AY27" s="54"/>
      <c r="AZ27" s="5"/>
      <c r="BA27" s="5"/>
      <c r="BB27" s="5"/>
      <c r="BC27" s="5"/>
      <c r="BD27" s="97"/>
      <c r="BE27" s="38" t="s">
        <v>2794</v>
      </c>
      <c r="BF27" s="65" t="str">
        <f>AS31</f>
        <v>λυρ α</v>
      </c>
      <c r="BN27" s="97"/>
      <c r="BO27" s="166"/>
      <c r="BQ27" s="133" t="s">
        <v>2798</v>
      </c>
      <c r="BR27" s="128"/>
      <c r="BS27" s="168" t="s">
        <v>2798</v>
      </c>
      <c r="BT27" s="128"/>
      <c r="BU27" s="127"/>
      <c r="BV27" s="128"/>
      <c r="BW27" s="128"/>
      <c r="BX27" s="128"/>
      <c r="BY27" s="128"/>
      <c r="CJ27" s="123"/>
      <c r="CK27" s="130"/>
      <c r="CL27" s="131"/>
      <c r="CM27" s="127"/>
      <c r="CN27" s="130"/>
      <c r="CO27" s="131"/>
      <c r="CP27" s="127"/>
      <c r="CQ27" s="6"/>
      <c r="CR27" s="138"/>
      <c r="CS27" s="38" t="s">
        <v>3061</v>
      </c>
      <c r="CT27" s="127" t="b">
        <f>ISNUMBER(CT26)</f>
        <v>0</v>
      </c>
      <c r="CW27" s="170"/>
      <c r="CY27" s="172" t="s">
        <v>2903</v>
      </c>
      <c r="DC27" s="182"/>
      <c r="DD27" s="1" t="s">
        <v>3273</v>
      </c>
      <c r="DE27" s="1" t="s">
        <v>2955</v>
      </c>
      <c r="DF27" s="404">
        <f>IF(DF25&lt;9,DF25,0)</f>
        <v>0</v>
      </c>
      <c r="DG27" s="1" t="s">
        <v>2931</v>
      </c>
      <c r="DH27" s="1">
        <f t="shared" si="1"/>
        <v>0</v>
      </c>
      <c r="DI27" s="1" t="s">
        <v>2956</v>
      </c>
      <c r="DJ27" s="170">
        <f>IF(DH27&gt;0,8,0)</f>
        <v>0</v>
      </c>
      <c r="DK27" s="182"/>
      <c r="DM27" s="2"/>
      <c r="DN27" s="37" t="s">
        <v>244</v>
      </c>
      <c r="DO27" s="37" t="s">
        <v>244</v>
      </c>
      <c r="DP27" s="37" t="s">
        <v>244</v>
      </c>
      <c r="DQ27" s="37" t="s">
        <v>3300</v>
      </c>
      <c r="DR27" s="37" t="s">
        <v>245</v>
      </c>
      <c r="DS27" s="22"/>
      <c r="DT27" s="6"/>
      <c r="DW27" s="423" t="s">
        <v>3301</v>
      </c>
      <c r="DZ27" s="48"/>
      <c r="ED27" s="3"/>
      <c r="EE27" s="3"/>
      <c r="EF27" s="3"/>
      <c r="EG27" s="3"/>
      <c r="EH27" s="476" t="s">
        <v>3585</v>
      </c>
      <c r="EI27" s="476"/>
      <c r="EJ27" s="570" t="str">
        <f>AQ29</f>
        <v/>
      </c>
      <c r="EK27" s="486" t="s">
        <v>4099</v>
      </c>
      <c r="EL27" s="487"/>
      <c r="EM27" s="490" t="str">
        <f>AS29</f>
        <v/>
      </c>
      <c r="EN27" s="476" t="s">
        <v>4065</v>
      </c>
      <c r="EO27" s="571" t="str">
        <f>AU29</f>
        <v/>
      </c>
      <c r="EP27" s="3"/>
      <c r="EQ27" s="3"/>
      <c r="ER27" s="3"/>
      <c r="ET27" s="97"/>
      <c r="EU27" s="38" t="s">
        <v>2794</v>
      </c>
      <c r="EV27" s="65">
        <f>EL29</f>
        <v>0</v>
      </c>
      <c r="EW27" s="65">
        <f>EM29</f>
        <v>0</v>
      </c>
      <c r="FH27" s="97"/>
      <c r="FK27" s="135"/>
      <c r="FY27" s="2"/>
      <c r="FZ27" s="37" t="s">
        <v>101</v>
      </c>
      <c r="GA27" s="37" t="s">
        <v>101</v>
      </c>
      <c r="GB27" s="37" t="s">
        <v>101</v>
      </c>
      <c r="GC27" s="37" t="s">
        <v>3680</v>
      </c>
      <c r="GD27" s="37" t="s">
        <v>104</v>
      </c>
      <c r="GF27" s="22"/>
      <c r="GI27" s="1" t="s">
        <v>3295</v>
      </c>
      <c r="GJ27" s="313">
        <f>LOOKUP(GJ24,(GA17:GA261),(GC17:GC261))</f>
        <v>0</v>
      </c>
      <c r="GL27" s="48"/>
      <c r="GV27" s="128"/>
      <c r="GW27" s="4"/>
      <c r="GX27" s="37" t="s">
        <v>768</v>
      </c>
      <c r="GY27" s="37" t="s">
        <v>768</v>
      </c>
      <c r="GZ27" s="37" t="s">
        <v>769</v>
      </c>
      <c r="HA27" s="37" t="s">
        <v>768</v>
      </c>
      <c r="HB27" s="37" t="s">
        <v>766</v>
      </c>
      <c r="HC27" s="37"/>
      <c r="HG27" s="1" t="s">
        <v>3698</v>
      </c>
      <c r="HH27" s="1">
        <f>LOOKUP(HH20,(GX17:GX92),(HC17:HC92))</f>
        <v>0</v>
      </c>
      <c r="HJ27" s="48"/>
      <c r="HK27" s="170"/>
      <c r="HM27" s="1" t="s">
        <v>3699</v>
      </c>
      <c r="HT27" s="128"/>
      <c r="HU27" s="534">
        <v>11</v>
      </c>
      <c r="HV27" s="534" t="s">
        <v>3700</v>
      </c>
      <c r="IB27" s="170"/>
      <c r="IC27" s="405"/>
      <c r="ID27" s="527" t="s">
        <v>3701</v>
      </c>
      <c r="IE27" s="528" t="s">
        <v>3701</v>
      </c>
      <c r="IF27" s="37" t="s">
        <v>3702</v>
      </c>
      <c r="IG27" s="37"/>
      <c r="IH27" s="37"/>
      <c r="II27" s="1"/>
      <c r="IJ27" s="1" t="s">
        <v>3703</v>
      </c>
      <c r="IK27" s="1" t="str">
        <f>LOOKUP(IK23,(ID14:ID89),(IG14:IG89))</f>
        <v>Πληκτρολογήθηκαν αριθμοί</v>
      </c>
      <c r="IL27" s="175"/>
      <c r="IM27" s="405"/>
      <c r="IN27" s="178"/>
      <c r="IO27" s="1"/>
      <c r="IP27" s="540" t="s">
        <v>3658</v>
      </c>
      <c r="IQ27" s="65">
        <f>IO14</f>
        <v>0</v>
      </c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78"/>
      <c r="JD27" s="135"/>
    </row>
    <row r="28" spans="9:264" ht="18.75">
      <c r="I28" s="22"/>
      <c r="J28" s="156" t="s">
        <v>80</v>
      </c>
      <c r="K28" s="156" t="s">
        <v>80</v>
      </c>
      <c r="L28" s="22">
        <v>21</v>
      </c>
      <c r="M28" s="22">
        <v>40</v>
      </c>
      <c r="N28" s="22">
        <v>5.5</v>
      </c>
      <c r="O28" s="22">
        <v>-16</v>
      </c>
      <c r="P28" s="22">
        <v>-39</v>
      </c>
      <c r="Q28" s="22">
        <v>-44</v>
      </c>
      <c r="R28" s="22" t="s">
        <v>81</v>
      </c>
      <c r="S28" s="23" t="s">
        <v>82</v>
      </c>
      <c r="V28" s="4"/>
      <c r="X28" s="128" t="s">
        <v>2879</v>
      </c>
      <c r="Y28" s="151" t="str">
        <f>IF(Y27=Y26,Y26,"ωωωω")</f>
        <v>ωωωωωω</v>
      </c>
      <c r="AB28" s="5"/>
      <c r="AC28" s="150"/>
      <c r="AI28" s="5"/>
      <c r="AJ28" s="5"/>
      <c r="AK28" s="5"/>
      <c r="AL28" s="5"/>
      <c r="AM28" s="5"/>
      <c r="AN28" s="5"/>
      <c r="AO28" s="5"/>
      <c r="AP28" s="320" t="s">
        <v>3556</v>
      </c>
      <c r="AQ28" s="319" t="str">
        <f>BV119</f>
        <v/>
      </c>
      <c r="AR28" s="323" t="str">
        <f>CB127</f>
        <v/>
      </c>
      <c r="AS28" s="324"/>
      <c r="AT28" s="320" t="s">
        <v>2786</v>
      </c>
      <c r="AU28" s="319" t="str">
        <f>CE119</f>
        <v/>
      </c>
      <c r="AV28" s="5"/>
      <c r="AW28" s="5"/>
      <c r="AX28" s="5"/>
      <c r="AY28" s="54"/>
      <c r="AZ28" s="5"/>
      <c r="BA28" s="5"/>
      <c r="BB28" s="5"/>
      <c r="BC28" s="5"/>
      <c r="BD28" s="97"/>
      <c r="BE28" s="38" t="s">
        <v>2823</v>
      </c>
      <c r="BF28" s="65" t="str">
        <f>AS32</f>
        <v>μ 057</v>
      </c>
      <c r="BN28" s="97"/>
      <c r="BO28" s="166"/>
      <c r="BQ28" s="38" t="s">
        <v>10</v>
      </c>
      <c r="BR28" s="65" t="str">
        <f>AD42</f>
        <v/>
      </c>
      <c r="BS28" s="128" t="s">
        <v>10</v>
      </c>
      <c r="BT28" s="65" t="str">
        <f>AD70</f>
        <v/>
      </c>
      <c r="BU28" s="127"/>
      <c r="BV28" s="128"/>
      <c r="BW28" s="128"/>
      <c r="BX28" s="128"/>
      <c r="BY28" s="128"/>
      <c r="CJ28" s="123"/>
      <c r="CK28" s="38" t="s">
        <v>3024</v>
      </c>
      <c r="CL28" s="65" t="str">
        <f>CL20</f>
        <v/>
      </c>
      <c r="CM28" s="127"/>
      <c r="CN28" s="38" t="s">
        <v>3024</v>
      </c>
      <c r="CO28" s="65" t="str">
        <f>CO20</f>
        <v/>
      </c>
      <c r="CP28" s="127"/>
      <c r="CQ28" s="6"/>
      <c r="CR28" s="138"/>
      <c r="CS28" s="38" t="s">
        <v>2855</v>
      </c>
      <c r="CT28" s="223">
        <f>IF(CT27=CT23,0,CT26)</f>
        <v>0</v>
      </c>
      <c r="CW28" s="170"/>
      <c r="CY28" s="1" t="s">
        <v>2904</v>
      </c>
      <c r="CZ28" s="173">
        <f xml:space="preserve"> IF(CZ26&gt;12,0,CZ26)</f>
        <v>0</v>
      </c>
      <c r="DC28" s="182"/>
      <c r="DE28" s="1" t="s">
        <v>2957</v>
      </c>
      <c r="DF28" s="404">
        <f>IF(DF25&lt;8,DF25,0)</f>
        <v>0</v>
      </c>
      <c r="DG28" s="1" t="s">
        <v>2931</v>
      </c>
      <c r="DH28" s="1">
        <f t="shared" si="1"/>
        <v>0</v>
      </c>
      <c r="DI28" s="1" t="s">
        <v>2958</v>
      </c>
      <c r="DJ28" s="170">
        <f>IF(DH28&gt;0,7,0)</f>
        <v>0</v>
      </c>
      <c r="DK28" s="182"/>
      <c r="DM28" s="2"/>
      <c r="DN28" s="37" t="s">
        <v>3302</v>
      </c>
      <c r="DO28" s="37" t="s">
        <v>3302</v>
      </c>
      <c r="DP28" s="37" t="s">
        <v>3210</v>
      </c>
      <c r="DQ28" s="37" t="s">
        <v>3303</v>
      </c>
      <c r="DR28" s="37" t="s">
        <v>249</v>
      </c>
      <c r="DS28" s="22"/>
      <c r="DT28" s="6"/>
      <c r="DW28" s="1" t="s">
        <v>3304</v>
      </c>
      <c r="DX28" s="205" t="str">
        <f>IF(DX22=0,"",DX22)</f>
        <v/>
      </c>
      <c r="DZ28" s="48"/>
      <c r="ED28" s="3"/>
      <c r="EE28" s="3"/>
      <c r="EF28" s="3"/>
      <c r="EG28" s="3"/>
      <c r="EH28" s="476" t="s">
        <v>3586</v>
      </c>
      <c r="EI28" s="476"/>
      <c r="EJ28" s="569" t="str">
        <f>AQ30</f>
        <v/>
      </c>
      <c r="EK28" s="476"/>
      <c r="EL28" s="476"/>
      <c r="EM28" s="476"/>
      <c r="EN28" s="476" t="s">
        <v>4066</v>
      </c>
      <c r="EO28" s="569" t="str">
        <f>AU30</f>
        <v/>
      </c>
      <c r="EP28" s="3"/>
      <c r="EQ28" s="3"/>
      <c r="ER28" s="3"/>
      <c r="ET28" s="97"/>
      <c r="EU28" s="38" t="s">
        <v>2823</v>
      </c>
      <c r="EV28" s="65">
        <f>EL30</f>
        <v>0</v>
      </c>
      <c r="EW28" s="65">
        <f>EM30</f>
        <v>0</v>
      </c>
      <c r="FH28" s="97"/>
      <c r="FK28" s="135"/>
      <c r="FY28" s="2"/>
      <c r="FZ28" s="37" t="s">
        <v>3296</v>
      </c>
      <c r="GA28" s="37" t="s">
        <v>3296</v>
      </c>
      <c r="GB28" s="37" t="s">
        <v>200</v>
      </c>
      <c r="GC28" s="37" t="s">
        <v>3704</v>
      </c>
      <c r="GD28" s="37" t="s">
        <v>203</v>
      </c>
      <c r="GF28" s="22"/>
      <c r="GI28" s="1" t="s">
        <v>3297</v>
      </c>
      <c r="GJ28" s="424">
        <f>LOOKUP(GJ24,(GA17:GA261),(GD17:GD261))</f>
        <v>0</v>
      </c>
      <c r="GL28" s="48"/>
      <c r="GV28" s="128"/>
      <c r="GW28" s="4"/>
      <c r="GX28" s="37" t="s">
        <v>1018</v>
      </c>
      <c r="GY28" s="37" t="s">
        <v>1018</v>
      </c>
      <c r="GZ28" s="37" t="s">
        <v>1019</v>
      </c>
      <c r="HA28" s="37" t="s">
        <v>1018</v>
      </c>
      <c r="HB28" s="37" t="s">
        <v>1014</v>
      </c>
      <c r="HC28" s="37"/>
      <c r="HG28" s="236" t="s">
        <v>3669</v>
      </c>
      <c r="HH28" s="545" t="str">
        <f>IF(HH27=0,"",HH27)</f>
        <v/>
      </c>
      <c r="HJ28" s="48"/>
      <c r="HK28" s="170"/>
      <c r="HM28" s="1" t="s">
        <v>3652</v>
      </c>
      <c r="HN28" s="1">
        <f>IF(HN19=HM28,2,0)</f>
        <v>0</v>
      </c>
      <c r="HT28" s="128"/>
      <c r="HU28" s="534">
        <v>12</v>
      </c>
      <c r="HV28" s="534" t="s">
        <v>3705</v>
      </c>
      <c r="IB28" s="170"/>
      <c r="IC28" s="405"/>
      <c r="ID28" s="527" t="s">
        <v>824</v>
      </c>
      <c r="IE28" s="528" t="s">
        <v>824</v>
      </c>
      <c r="IF28" s="37" t="s">
        <v>3706</v>
      </c>
      <c r="IG28" s="37"/>
      <c r="IH28" s="37"/>
      <c r="II28" s="1"/>
      <c r="IJ28" s="1" t="s">
        <v>3707</v>
      </c>
      <c r="IK28" s="109" t="str">
        <f>IF(IK27=0,"",IK27)</f>
        <v>Πληκτρολογήθηκαν αριθμοί</v>
      </c>
      <c r="IL28" s="1"/>
      <c r="IM28" s="405"/>
      <c r="IN28" s="178"/>
      <c r="IO28" s="1"/>
      <c r="IP28" s="423" t="s">
        <v>3666</v>
      </c>
      <c r="IQ28" s="423" t="b">
        <f>ISNUMBER(IQ27)</f>
        <v>1</v>
      </c>
      <c r="IR28" s="423" t="b">
        <v>0</v>
      </c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78"/>
      <c r="JD28" s="135"/>
    </row>
    <row r="29" spans="9:264" ht="20.25">
      <c r="I29" s="22"/>
      <c r="J29" s="156" t="s">
        <v>83</v>
      </c>
      <c r="K29" s="156" t="s">
        <v>83</v>
      </c>
      <c r="L29" s="22">
        <v>21</v>
      </c>
      <c r="M29" s="22">
        <v>47</v>
      </c>
      <c r="N29" s="22">
        <v>2.4</v>
      </c>
      <c r="O29" s="22">
        <v>-16</v>
      </c>
      <c r="P29" s="22">
        <v>-7</v>
      </c>
      <c r="Q29" s="22">
        <v>-38</v>
      </c>
      <c r="R29" s="22" t="s">
        <v>84</v>
      </c>
      <c r="S29" s="23" t="s">
        <v>85</v>
      </c>
      <c r="V29" s="4"/>
      <c r="Y29" s="6" t="s">
        <v>2767</v>
      </c>
      <c r="AB29" s="5"/>
      <c r="AC29" s="150"/>
      <c r="AI29" s="5"/>
      <c r="AJ29" s="5"/>
      <c r="AK29" s="5"/>
      <c r="AL29" s="5"/>
      <c r="AM29" s="5"/>
      <c r="AN29" s="5"/>
      <c r="AO29" s="5"/>
      <c r="AP29" s="320" t="s">
        <v>2802</v>
      </c>
      <c r="AQ29" s="372" t="str">
        <f>BW119</f>
        <v/>
      </c>
      <c r="AR29" s="325" t="s">
        <v>2788</v>
      </c>
      <c r="AS29" s="326" t="str">
        <f>CB126</f>
        <v/>
      </c>
      <c r="AT29" s="320" t="s">
        <v>2789</v>
      </c>
      <c r="AU29" s="372" t="str">
        <f>CF119</f>
        <v/>
      </c>
      <c r="AV29" s="5"/>
      <c r="AW29" s="5"/>
      <c r="AX29" s="5"/>
      <c r="AY29" s="54"/>
      <c r="AZ29" s="5"/>
      <c r="BA29" s="5"/>
      <c r="BB29" s="5"/>
      <c r="BC29" s="5"/>
      <c r="BD29" s="97"/>
      <c r="BE29" s="38" t="s">
        <v>3239</v>
      </c>
      <c r="BF29" s="65">
        <f>AP35</f>
        <v>0</v>
      </c>
      <c r="BN29" s="97"/>
      <c r="BO29" s="166"/>
      <c r="BQ29" s="38" t="s">
        <v>11</v>
      </c>
      <c r="BR29" s="65" t="str">
        <f>AD43</f>
        <v/>
      </c>
      <c r="BS29" s="128" t="s">
        <v>11</v>
      </c>
      <c r="BT29" s="65" t="str">
        <f>AD71</f>
        <v/>
      </c>
      <c r="BU29" s="127"/>
      <c r="BV29" s="128"/>
      <c r="BW29" s="128"/>
      <c r="BX29" s="128"/>
      <c r="BY29" s="128"/>
      <c r="CJ29" s="123"/>
      <c r="CK29" s="38" t="s">
        <v>2818</v>
      </c>
      <c r="CL29" s="128" t="b">
        <f>ISNUMBER(CL28)</f>
        <v>0</v>
      </c>
      <c r="CM29" s="127" t="b">
        <v>0</v>
      </c>
      <c r="CN29" s="38" t="s">
        <v>2818</v>
      </c>
      <c r="CO29" s="128" t="b">
        <f>ISNUMBER(CO28)</f>
        <v>0</v>
      </c>
      <c r="CP29" s="127" t="b">
        <v>0</v>
      </c>
      <c r="CQ29" s="6"/>
      <c r="CR29" s="138"/>
      <c r="CS29" s="133" t="s">
        <v>3064</v>
      </c>
      <c r="CT29" s="65" t="str">
        <f>CO68</f>
        <v/>
      </c>
      <c r="CW29" s="170"/>
      <c r="CY29" s="1" t="s">
        <v>2905</v>
      </c>
      <c r="CZ29" s="1">
        <f>IF(CZ25&lt;-12,CZ25,0)</f>
        <v>0</v>
      </c>
      <c r="DC29" s="182"/>
      <c r="DE29" s="1" t="s">
        <v>2959</v>
      </c>
      <c r="DF29" s="404">
        <f>IF(DF25&lt;7,DF25,0)</f>
        <v>0</v>
      </c>
      <c r="DG29" s="1" t="s">
        <v>2931</v>
      </c>
      <c r="DH29" s="1">
        <f t="shared" si="1"/>
        <v>0</v>
      </c>
      <c r="DI29" s="1" t="s">
        <v>2960</v>
      </c>
      <c r="DJ29" s="170">
        <f>IF(DH29&gt;0,6,0)</f>
        <v>0</v>
      </c>
      <c r="DK29" s="182"/>
      <c r="DM29" s="2"/>
      <c r="DN29" s="37" t="s">
        <v>248</v>
      </c>
      <c r="DO29" s="37" t="s">
        <v>248</v>
      </c>
      <c r="DP29" s="37" t="s">
        <v>3210</v>
      </c>
      <c r="DQ29" s="37" t="s">
        <v>3303</v>
      </c>
      <c r="DR29" s="37" t="s">
        <v>249</v>
      </c>
      <c r="DS29" s="22"/>
      <c r="DT29" s="6"/>
      <c r="DW29" s="313" t="s">
        <v>3305</v>
      </c>
      <c r="DZ29" s="48"/>
      <c r="ED29" s="3"/>
      <c r="EE29" s="3"/>
      <c r="EF29" s="3"/>
      <c r="EG29" s="3"/>
      <c r="EH29" s="573" t="str">
        <f>AP31</f>
        <v/>
      </c>
      <c r="EI29" s="488"/>
      <c r="EJ29" s="488"/>
      <c r="EK29" s="475" t="s">
        <v>2794</v>
      </c>
      <c r="EL29" s="479"/>
      <c r="EM29" s="479"/>
      <c r="EN29" s="573" t="str">
        <f>AT31</f>
        <v/>
      </c>
      <c r="EO29" s="488"/>
      <c r="EP29" s="3"/>
      <c r="EQ29" s="3"/>
      <c r="ER29" s="3"/>
      <c r="ET29" s="97"/>
      <c r="EU29" s="38" t="s">
        <v>3239</v>
      </c>
      <c r="EV29" s="65">
        <f>EI33</f>
        <v>0</v>
      </c>
      <c r="FH29" s="97"/>
      <c r="FK29" s="135"/>
      <c r="FY29" s="2"/>
      <c r="FZ29" s="37" t="s">
        <v>200</v>
      </c>
      <c r="GA29" s="37" t="s">
        <v>200</v>
      </c>
      <c r="GB29" s="37" t="s">
        <v>200</v>
      </c>
      <c r="GC29" s="37" t="s">
        <v>3704</v>
      </c>
      <c r="GD29" s="37" t="s">
        <v>203</v>
      </c>
      <c r="GF29" s="22"/>
      <c r="GI29" s="1" t="s">
        <v>3298</v>
      </c>
      <c r="GJ29" s="200">
        <f>LOOKUP(GJ24,(GA17:GA261),(GF17:GF261))</f>
        <v>0</v>
      </c>
      <c r="GL29" s="48"/>
      <c r="GV29" s="128"/>
      <c r="GW29" s="4"/>
      <c r="GX29" s="37" t="s">
        <v>915</v>
      </c>
      <c r="GY29" s="37" t="s">
        <v>915</v>
      </c>
      <c r="GZ29" s="37" t="s">
        <v>3708</v>
      </c>
      <c r="HA29" s="37" t="s">
        <v>915</v>
      </c>
      <c r="HB29" s="37" t="s">
        <v>911</v>
      </c>
      <c r="HC29" s="37"/>
      <c r="HJ29" s="48"/>
      <c r="HK29" s="170"/>
      <c r="HM29" s="1" t="s">
        <v>3709</v>
      </c>
      <c r="HN29" s="1">
        <f>IF(HN19=HM29,2,0)</f>
        <v>0</v>
      </c>
      <c r="HT29" s="128"/>
      <c r="HU29" s="534">
        <v>13</v>
      </c>
      <c r="HV29" s="534" t="s">
        <v>3710</v>
      </c>
      <c r="IB29" s="170"/>
      <c r="IC29" s="405"/>
      <c r="ID29" s="527" t="s">
        <v>876</v>
      </c>
      <c r="IE29" s="528" t="s">
        <v>876</v>
      </c>
      <c r="IF29" s="37" t="s">
        <v>3711</v>
      </c>
      <c r="IG29" s="37"/>
      <c r="IH29" s="37"/>
      <c r="II29" s="1"/>
      <c r="IJ29" s="1" t="s">
        <v>4025</v>
      </c>
      <c r="IK29" s="599">
        <f>LOOKUP(IK23,(ID14:ID89),(IH14:IH89))</f>
        <v>0</v>
      </c>
      <c r="IM29" s="405"/>
      <c r="IN29" s="178"/>
      <c r="IO29" s="1"/>
      <c r="IP29" s="533" t="s">
        <v>3674</v>
      </c>
      <c r="IQ29" s="533">
        <f>IF(IQ28=IR28,1,2)</f>
        <v>2</v>
      </c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78"/>
      <c r="JD29" s="135"/>
    </row>
    <row r="30" spans="9:264">
      <c r="I30" s="22"/>
      <c r="J30" s="156" t="s">
        <v>86</v>
      </c>
      <c r="K30" s="156" t="s">
        <v>86</v>
      </c>
      <c r="L30" s="22">
        <v>21</v>
      </c>
      <c r="M30" s="22">
        <v>26</v>
      </c>
      <c r="N30" s="22">
        <v>40</v>
      </c>
      <c r="O30" s="22">
        <v>-22</v>
      </c>
      <c r="P30" s="22">
        <v>-24</v>
      </c>
      <c r="Q30" s="22">
        <v>-41</v>
      </c>
      <c r="R30" s="22" t="s">
        <v>87</v>
      </c>
      <c r="S30" s="23" t="s">
        <v>88</v>
      </c>
      <c r="V30" s="4"/>
      <c r="X30" s="128" t="s">
        <v>2883</v>
      </c>
      <c r="Y30" s="6">
        <f>IF(Y28=Y29,1,0)</f>
        <v>0</v>
      </c>
      <c r="AB30" s="5"/>
      <c r="AC30" s="150"/>
      <c r="AI30" s="5"/>
      <c r="AJ30" s="5"/>
      <c r="AK30" s="5"/>
      <c r="AL30" s="5"/>
      <c r="AM30" s="5"/>
      <c r="AN30" s="5"/>
      <c r="AO30" s="5"/>
      <c r="AP30" s="320" t="s">
        <v>3562</v>
      </c>
      <c r="AQ30" s="370" t="str">
        <f>BX119</f>
        <v/>
      </c>
      <c r="AR30" s="320" t="s">
        <v>3247</v>
      </c>
      <c r="AS30" s="320"/>
      <c r="AT30" s="320" t="s">
        <v>2790</v>
      </c>
      <c r="AU30" s="370" t="str">
        <f>CG119</f>
        <v/>
      </c>
      <c r="AV30" s="5"/>
      <c r="AW30" s="5"/>
      <c r="AX30" s="5"/>
      <c r="AY30" s="54"/>
      <c r="AZ30" s="5"/>
      <c r="BA30" s="5"/>
      <c r="BB30" s="5"/>
      <c r="BC30" s="5"/>
      <c r="BD30" s="97"/>
      <c r="BE30" s="95" t="s">
        <v>2866</v>
      </c>
      <c r="BF30" s="65">
        <f>AS19</f>
        <v>2000</v>
      </c>
      <c r="BN30" s="97"/>
      <c r="BO30" s="166"/>
      <c r="BQ30" s="38" t="s">
        <v>2894</v>
      </c>
      <c r="BR30" s="65" t="str">
        <f>AD44</f>
        <v/>
      </c>
      <c r="BS30" s="128" t="s">
        <v>2894</v>
      </c>
      <c r="BT30" s="65" t="str">
        <f>AD72</f>
        <v/>
      </c>
      <c r="BU30" s="127"/>
      <c r="BV30" s="128"/>
      <c r="BW30" s="128"/>
      <c r="BX30" s="128"/>
      <c r="BY30" s="128"/>
      <c r="CJ30" s="123"/>
      <c r="CK30" s="38" t="s">
        <v>2855</v>
      </c>
      <c r="CL30" s="129">
        <f>IF(CL29=CM29,0,CL28)</f>
        <v>0</v>
      </c>
      <c r="CM30" s="127"/>
      <c r="CN30" s="38" t="s">
        <v>2855</v>
      </c>
      <c r="CO30" s="129">
        <f>IF(CO29=CP29,0,CO28)</f>
        <v>0</v>
      </c>
      <c r="CP30" s="127"/>
      <c r="CQ30" s="6"/>
      <c r="CR30" s="138"/>
      <c r="CS30" s="38" t="s">
        <v>3061</v>
      </c>
      <c r="CT30" s="127" t="b">
        <f>ISNUMBER(CT29)</f>
        <v>0</v>
      </c>
      <c r="CW30" s="170"/>
      <c r="CY30" s="1" t="s">
        <v>2906</v>
      </c>
      <c r="CZ30" s="1">
        <f>24+CZ29</f>
        <v>24</v>
      </c>
      <c r="DC30" s="182"/>
      <c r="DE30" s="1" t="s">
        <v>2961</v>
      </c>
      <c r="DF30" s="404">
        <f>IF(DF25&lt;6,DF25,0)</f>
        <v>0</v>
      </c>
      <c r="DG30" s="1" t="s">
        <v>2931</v>
      </c>
      <c r="DH30" s="1">
        <f t="shared" si="1"/>
        <v>0</v>
      </c>
      <c r="DI30" s="1" t="s">
        <v>2962</v>
      </c>
      <c r="DJ30" s="170">
        <f>IF(DH30&gt;0,5,0)</f>
        <v>0</v>
      </c>
      <c r="DK30" s="182"/>
      <c r="DM30" s="2"/>
      <c r="DN30" s="37" t="s">
        <v>3306</v>
      </c>
      <c r="DO30" s="37" t="s">
        <v>3306</v>
      </c>
      <c r="DP30" s="37" t="s">
        <v>3210</v>
      </c>
      <c r="DQ30" s="37" t="s">
        <v>3303</v>
      </c>
      <c r="DR30" s="37" t="s">
        <v>249</v>
      </c>
      <c r="DS30" s="22"/>
      <c r="DT30" s="6"/>
      <c r="DW30" s="1" t="s">
        <v>3304</v>
      </c>
      <c r="DX30" s="138" t="str">
        <f>IF(DX23=0,"",DX23)</f>
        <v/>
      </c>
      <c r="DZ30" s="48"/>
      <c r="ED30" s="3"/>
      <c r="EE30" s="3"/>
      <c r="EF30" s="3"/>
      <c r="EG30" s="3"/>
      <c r="EH30" s="573" t="str">
        <f>AP32</f>
        <v/>
      </c>
      <c r="EI30" s="488"/>
      <c r="EJ30" s="488"/>
      <c r="EK30" s="491" t="s">
        <v>2823</v>
      </c>
      <c r="EL30" s="479"/>
      <c r="EM30" s="479"/>
      <c r="EN30" s="573" t="str">
        <f>AT32</f>
        <v/>
      </c>
      <c r="EO30" s="488"/>
      <c r="EP30" s="3"/>
      <c r="EQ30" s="3"/>
      <c r="ER30" s="3"/>
      <c r="ET30" s="97"/>
      <c r="EU30" s="95" t="s">
        <v>2866</v>
      </c>
      <c r="EV30" s="65">
        <f>EN17</f>
        <v>2018</v>
      </c>
      <c r="FH30" s="97"/>
      <c r="FK30" s="135"/>
      <c r="FY30" s="2"/>
      <c r="FZ30" s="37" t="s">
        <v>3299</v>
      </c>
      <c r="GA30" s="37" t="s">
        <v>3299</v>
      </c>
      <c r="GB30" s="37" t="s">
        <v>244</v>
      </c>
      <c r="GC30" s="37" t="s">
        <v>3712</v>
      </c>
      <c r="GD30" s="37" t="s">
        <v>3646</v>
      </c>
      <c r="GF30" s="22"/>
      <c r="GI30" s="108" t="s">
        <v>2831</v>
      </c>
      <c r="GL30" s="48"/>
      <c r="GV30" s="128"/>
      <c r="GW30" s="4"/>
      <c r="GX30" s="37" t="s">
        <v>942</v>
      </c>
      <c r="GY30" s="37" t="s">
        <v>942</v>
      </c>
      <c r="GZ30" s="37" t="s">
        <v>3713</v>
      </c>
      <c r="HA30" s="37" t="s">
        <v>942</v>
      </c>
      <c r="HB30" s="37" t="s">
        <v>939</v>
      </c>
      <c r="HC30" s="37"/>
      <c r="HJ30" s="48"/>
      <c r="HK30" s="170"/>
      <c r="HM30" s="1" t="s">
        <v>3714</v>
      </c>
      <c r="HN30" s="1">
        <f>IF(HN19=HM30,2,0)</f>
        <v>0</v>
      </c>
      <c r="HT30" s="128"/>
      <c r="HU30" s="534">
        <v>14</v>
      </c>
      <c r="HV30" s="534" t="s">
        <v>3715</v>
      </c>
      <c r="IB30" s="170"/>
      <c r="IC30" s="405"/>
      <c r="ID30" s="527" t="s">
        <v>835</v>
      </c>
      <c r="IE30" s="528" t="s">
        <v>835</v>
      </c>
      <c r="IF30" s="37" t="s">
        <v>3716</v>
      </c>
      <c r="IG30" s="37"/>
      <c r="IH30" s="37"/>
      <c r="II30" s="1"/>
      <c r="IJ30" s="1"/>
      <c r="IK30" s="1" t="s">
        <v>3242</v>
      </c>
      <c r="IL30" s="1" t="s">
        <v>3717</v>
      </c>
      <c r="IM30" s="405"/>
      <c r="IN30" s="178"/>
      <c r="IO30" s="1"/>
      <c r="IP30" s="1" t="s">
        <v>4023</v>
      </c>
      <c r="IQ30" s="57" t="str">
        <f>IF(IQ29=1,IQ27,"")</f>
        <v/>
      </c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78"/>
      <c r="JD30" s="135"/>
    </row>
    <row r="31" spans="9:264">
      <c r="I31" s="22"/>
      <c r="J31" s="156" t="s">
        <v>89</v>
      </c>
      <c r="K31" s="156" t="s">
        <v>89</v>
      </c>
      <c r="L31" s="22">
        <v>21</v>
      </c>
      <c r="M31" s="22">
        <v>5</v>
      </c>
      <c r="N31" s="22">
        <v>56.8</v>
      </c>
      <c r="O31" s="22">
        <v>-17</v>
      </c>
      <c r="P31" s="22">
        <v>-13</v>
      </c>
      <c r="Q31" s="22">
        <v>-58</v>
      </c>
      <c r="R31" s="22" t="s">
        <v>90</v>
      </c>
      <c r="S31" s="23" t="s">
        <v>91</v>
      </c>
      <c r="V31" s="4"/>
      <c r="X31" s="128" t="s">
        <v>2884</v>
      </c>
      <c r="Y31" s="6">
        <f>IF(Y28=Y26,1,0)</f>
        <v>1</v>
      </c>
      <c r="AB31" s="5"/>
      <c r="AC31" s="150"/>
      <c r="AI31" s="5"/>
      <c r="AJ31" s="5"/>
      <c r="AK31" s="5"/>
      <c r="AL31" s="5"/>
      <c r="AM31" s="5"/>
      <c r="AN31" s="5"/>
      <c r="AO31" s="5"/>
      <c r="AP31" s="55" t="str">
        <f>BS120</f>
        <v/>
      </c>
      <c r="AQ31" s="56"/>
      <c r="AR31" s="317" t="s">
        <v>2791</v>
      </c>
      <c r="AS31" s="435" t="s">
        <v>1194</v>
      </c>
      <c r="AT31" s="55" t="str">
        <f>CB120</f>
        <v/>
      </c>
      <c r="AU31" s="56"/>
      <c r="AV31" s="5"/>
      <c r="AW31" s="5"/>
      <c r="AX31" s="5"/>
      <c r="AY31" s="54"/>
      <c r="AZ31" s="5"/>
      <c r="BA31" s="5"/>
      <c r="BB31" s="5"/>
      <c r="BC31" s="5"/>
      <c r="BD31" s="97"/>
      <c r="BN31" s="97"/>
      <c r="BO31" s="166"/>
      <c r="BQ31" s="38"/>
      <c r="BR31" s="128"/>
      <c r="BS31" s="128"/>
      <c r="BT31" s="128"/>
      <c r="BU31" s="127"/>
      <c r="BV31" s="128"/>
      <c r="BW31" s="128"/>
      <c r="BX31" s="128"/>
      <c r="BY31" s="128"/>
      <c r="CJ31" s="123"/>
      <c r="CK31" s="130" t="s">
        <v>3025</v>
      </c>
      <c r="CL31" s="132">
        <f>IF(CL29=CM29,1,0)</f>
        <v>1</v>
      </c>
      <c r="CM31" s="127"/>
      <c r="CN31" s="130" t="s">
        <v>3025</v>
      </c>
      <c r="CO31" s="132">
        <f>IF(CO29=CP29,1,0)</f>
        <v>1</v>
      </c>
      <c r="CP31" s="127"/>
      <c r="CQ31" s="6"/>
      <c r="CR31" s="138"/>
      <c r="CS31" s="38" t="s">
        <v>2855</v>
      </c>
      <c r="CT31" s="223">
        <f>IF(CT30=CT23,0,CT29)</f>
        <v>0</v>
      </c>
      <c r="CW31" s="170"/>
      <c r="CY31" s="1" t="s">
        <v>2907</v>
      </c>
      <c r="CZ31" s="174">
        <f>IF(CZ30=24,0,CZ30)</f>
        <v>0</v>
      </c>
      <c r="DC31" s="182"/>
      <c r="DE31" s="1" t="s">
        <v>2963</v>
      </c>
      <c r="DF31" s="404">
        <f>IF(DF25&lt;5,DF25,0)</f>
        <v>0</v>
      </c>
      <c r="DG31" s="1" t="s">
        <v>2931</v>
      </c>
      <c r="DH31" s="1">
        <f t="shared" si="1"/>
        <v>0</v>
      </c>
      <c r="DI31" s="1" t="s">
        <v>2964</v>
      </c>
      <c r="DJ31" s="170">
        <f>IF(DH31&gt;0,4,0)</f>
        <v>0</v>
      </c>
      <c r="DK31" s="182"/>
      <c r="DM31" s="2"/>
      <c r="DN31" s="37" t="s">
        <v>3210</v>
      </c>
      <c r="DO31" s="37" t="s">
        <v>3210</v>
      </c>
      <c r="DP31" s="37" t="s">
        <v>3210</v>
      </c>
      <c r="DQ31" s="37" t="s">
        <v>3303</v>
      </c>
      <c r="DR31" s="37" t="s">
        <v>249</v>
      </c>
      <c r="DS31" s="22"/>
      <c r="DT31" s="6"/>
      <c r="DW31" s="1" t="s">
        <v>3307</v>
      </c>
      <c r="DZ31" s="48"/>
      <c r="ED31" s="3"/>
      <c r="EE31" s="3"/>
      <c r="EF31" s="3"/>
      <c r="EG31" s="3"/>
      <c r="EH31" s="488" t="s">
        <v>3588</v>
      </c>
      <c r="EI31" s="488"/>
      <c r="EJ31" s="488"/>
      <c r="EK31" s="488" t="s">
        <v>3589</v>
      </c>
      <c r="EL31" s="488"/>
      <c r="EM31" s="488"/>
      <c r="EN31" s="488"/>
      <c r="EO31" s="488"/>
      <c r="EP31" s="3"/>
      <c r="EQ31" s="3"/>
      <c r="ER31" s="3"/>
      <c r="ET31" s="97"/>
      <c r="FH31" s="97"/>
      <c r="FK31" s="135"/>
      <c r="FY31" s="2"/>
      <c r="FZ31" s="37" t="s">
        <v>244</v>
      </c>
      <c r="GA31" s="37" t="s">
        <v>244</v>
      </c>
      <c r="GB31" s="37" t="s">
        <v>244</v>
      </c>
      <c r="GC31" s="37" t="s">
        <v>3712</v>
      </c>
      <c r="GD31" s="37" t="s">
        <v>3646</v>
      </c>
      <c r="GF31" s="22"/>
      <c r="GI31" s="423" t="s">
        <v>3301</v>
      </c>
      <c r="GL31" s="48"/>
      <c r="GV31" s="128"/>
      <c r="GW31" s="4"/>
      <c r="GX31" s="37" t="s">
        <v>71</v>
      </c>
      <c r="GY31" s="37" t="s">
        <v>71</v>
      </c>
      <c r="GZ31" s="37" t="s">
        <v>72</v>
      </c>
      <c r="HA31" s="37" t="s">
        <v>71</v>
      </c>
      <c r="HB31" s="37" t="s">
        <v>3208</v>
      </c>
      <c r="HC31" s="37"/>
      <c r="HG31" s="546">
        <f>FO58</f>
        <v>0</v>
      </c>
      <c r="HJ31" s="48"/>
      <c r="HK31" s="170"/>
      <c r="HM31" s="1" t="s">
        <v>3688</v>
      </c>
      <c r="HN31" s="170">
        <f>HN28+HN29+HN30</f>
        <v>0</v>
      </c>
      <c r="HT31" s="128"/>
      <c r="HU31" s="534">
        <v>15</v>
      </c>
      <c r="HV31" s="534" t="s">
        <v>3718</v>
      </c>
      <c r="IB31" s="170"/>
      <c r="IC31" s="405"/>
      <c r="ID31" s="527" t="s">
        <v>3708</v>
      </c>
      <c r="IE31" s="528" t="s">
        <v>3708</v>
      </c>
      <c r="IF31" s="37" t="s">
        <v>3719</v>
      </c>
      <c r="IG31" s="37"/>
      <c r="IH31" s="37"/>
      <c r="II31" s="1"/>
      <c r="IJ31" s="1" t="s">
        <v>3720</v>
      </c>
      <c r="IK31" s="190" t="str">
        <f>IK26</f>
        <v/>
      </c>
      <c r="IL31" s="109" t="str">
        <f>IK28</f>
        <v>Πληκτρολογήθηκαν αριθμοί</v>
      </c>
      <c r="IM31" s="405"/>
      <c r="IN31" s="178"/>
      <c r="IO31" s="1"/>
      <c r="IP31" s="1" t="s">
        <v>3685</v>
      </c>
      <c r="IQ31" s="57" t="str">
        <f>IF(IQ29=1,IQ26,"")</f>
        <v/>
      </c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78"/>
      <c r="JD31" s="135"/>
    </row>
    <row r="32" spans="9:264">
      <c r="I32" s="22"/>
      <c r="J32" s="156" t="s">
        <v>92</v>
      </c>
      <c r="K32" s="156" t="s">
        <v>92</v>
      </c>
      <c r="L32" s="22">
        <v>21</v>
      </c>
      <c r="M32" s="22">
        <v>22</v>
      </c>
      <c r="N32" s="22">
        <v>14.8</v>
      </c>
      <c r="O32" s="22">
        <v>-16</v>
      </c>
      <c r="P32" s="22">
        <v>-50</v>
      </c>
      <c r="Q32" s="22">
        <v>-4</v>
      </c>
      <c r="R32" s="22" t="s">
        <v>93</v>
      </c>
      <c r="S32" s="23" t="s">
        <v>94</v>
      </c>
      <c r="V32" s="4"/>
      <c r="X32" s="128" t="s">
        <v>2859</v>
      </c>
      <c r="Y32" s="6">
        <f>Y31+Y30</f>
        <v>1</v>
      </c>
      <c r="AB32" s="5"/>
      <c r="AC32" s="150"/>
      <c r="AI32" s="5"/>
      <c r="AJ32" s="5"/>
      <c r="AK32" s="5"/>
      <c r="AL32" s="5"/>
      <c r="AM32" s="5"/>
      <c r="AN32" s="5"/>
      <c r="AO32" s="5"/>
      <c r="AP32" s="59" t="str">
        <f>BS121</f>
        <v/>
      </c>
      <c r="AQ32" s="52"/>
      <c r="AR32" s="318" t="s">
        <v>2792</v>
      </c>
      <c r="AS32" s="435" t="s">
        <v>1371</v>
      </c>
      <c r="AT32" s="59" t="str">
        <f>CB121</f>
        <v/>
      </c>
      <c r="AU32" s="52"/>
      <c r="AV32" s="5"/>
      <c r="AW32" s="5"/>
      <c r="AX32" s="5"/>
      <c r="AY32" s="54"/>
      <c r="AZ32" s="5"/>
      <c r="BA32" s="5"/>
      <c r="BB32" s="5"/>
      <c r="BC32" s="5"/>
      <c r="BD32" s="97"/>
      <c r="BE32" s="206" t="s">
        <v>2824</v>
      </c>
      <c r="BF32" s="126"/>
      <c r="BN32" s="97"/>
      <c r="BO32" s="166"/>
      <c r="BQ32" s="133" t="s">
        <v>2876</v>
      </c>
      <c r="BS32" s="168" t="s">
        <v>2895</v>
      </c>
      <c r="BU32" s="127"/>
      <c r="BV32" s="128"/>
      <c r="BW32" s="128"/>
      <c r="BX32" s="128"/>
      <c r="BY32" s="128"/>
      <c r="CJ32" s="123"/>
      <c r="CK32" s="130"/>
      <c r="CL32" s="132"/>
      <c r="CM32" s="127"/>
      <c r="CN32" s="130"/>
      <c r="CO32" s="132"/>
      <c r="CP32" s="127"/>
      <c r="CQ32" s="6"/>
      <c r="CR32" s="138"/>
      <c r="CS32" s="95"/>
      <c r="CT32" s="80" t="s">
        <v>2815</v>
      </c>
      <c r="CW32" s="170"/>
      <c r="CZ32" s="175"/>
      <c r="DC32" s="182"/>
      <c r="DE32" s="1" t="s">
        <v>2965</v>
      </c>
      <c r="DF32" s="404">
        <f>IF(DF25&lt;4,DF25,0)</f>
        <v>0</v>
      </c>
      <c r="DG32" s="1" t="s">
        <v>2931</v>
      </c>
      <c r="DH32" s="1">
        <f t="shared" si="1"/>
        <v>0</v>
      </c>
      <c r="DI32" s="1" t="s">
        <v>2966</v>
      </c>
      <c r="DJ32" s="170">
        <f>IF(DH32&gt;0,3,0)</f>
        <v>0</v>
      </c>
      <c r="DK32" s="182"/>
      <c r="DM32" s="2"/>
      <c r="DN32" s="37" t="s">
        <v>3308</v>
      </c>
      <c r="DO32" s="37" t="s">
        <v>3308</v>
      </c>
      <c r="DP32" s="37" t="s">
        <v>270</v>
      </c>
      <c r="DQ32" s="37" t="s">
        <v>3309</v>
      </c>
      <c r="DR32" s="37" t="s">
        <v>3310</v>
      </c>
      <c r="DS32" s="22"/>
      <c r="DT32" s="6"/>
      <c r="DW32" s="1" t="s">
        <v>3304</v>
      </c>
      <c r="DX32" s="135" t="str">
        <f>IF(DX24=0,"",DX24)</f>
        <v/>
      </c>
      <c r="DZ32" s="48"/>
      <c r="ED32" s="3"/>
      <c r="EE32" s="3"/>
      <c r="EF32" s="3"/>
      <c r="EG32" s="3" t="s">
        <v>2069</v>
      </c>
      <c r="EH32" s="492" t="s">
        <v>3590</v>
      </c>
      <c r="EI32" s="3"/>
      <c r="EJ32" s="576" t="str">
        <f>FP56</f>
        <v/>
      </c>
      <c r="EK32" s="3"/>
      <c r="EL32" s="3"/>
      <c r="EM32" s="3"/>
      <c r="EN32" s="3"/>
      <c r="EO32" s="3"/>
      <c r="EP32" s="3"/>
      <c r="EQ32" s="3"/>
      <c r="ER32" s="3"/>
      <c r="ET32" s="97"/>
      <c r="EU32" s="206" t="s">
        <v>2824</v>
      </c>
      <c r="EV32" s="126"/>
      <c r="FH32" s="97"/>
      <c r="FK32" s="135"/>
      <c r="FY32" s="2"/>
      <c r="FZ32" s="37" t="s">
        <v>3302</v>
      </c>
      <c r="GA32" s="37" t="s">
        <v>3302</v>
      </c>
      <c r="GB32" s="37" t="s">
        <v>3210</v>
      </c>
      <c r="GC32" s="37" t="s">
        <v>3721</v>
      </c>
      <c r="GD32" s="37" t="s">
        <v>251</v>
      </c>
      <c r="GF32" s="22"/>
      <c r="GI32" s="1" t="s">
        <v>3304</v>
      </c>
      <c r="GJ32" s="205" t="str">
        <f>IF(GJ26=0,"",GJ26)</f>
        <v/>
      </c>
      <c r="GL32" s="48"/>
      <c r="GV32" s="128"/>
      <c r="GW32" s="4"/>
      <c r="GX32" s="37" t="s">
        <v>2602</v>
      </c>
      <c r="GY32" s="37" t="s">
        <v>2602</v>
      </c>
      <c r="GZ32" s="37" t="s">
        <v>2603</v>
      </c>
      <c r="HA32" s="37" t="s">
        <v>2602</v>
      </c>
      <c r="HB32" s="37" t="s">
        <v>3575</v>
      </c>
      <c r="HC32" s="37"/>
      <c r="HJ32" s="48"/>
      <c r="HK32" s="170"/>
      <c r="HM32" s="191">
        <v>3</v>
      </c>
      <c r="HT32" s="128"/>
      <c r="HU32" s="534">
        <v>16</v>
      </c>
      <c r="HV32" s="534" t="s">
        <v>3722</v>
      </c>
      <c r="IB32" s="170"/>
      <c r="IC32" s="405"/>
      <c r="ID32" s="527" t="s">
        <v>3713</v>
      </c>
      <c r="IE32" s="528" t="s">
        <v>3713</v>
      </c>
      <c r="IF32" s="37" t="s">
        <v>3723</v>
      </c>
      <c r="IG32" s="37"/>
      <c r="IH32" s="37"/>
      <c r="II32" s="1"/>
      <c r="IJ32" s="1" t="s">
        <v>3724</v>
      </c>
      <c r="IK32" s="65">
        <f>IK17</f>
        <v>0</v>
      </c>
      <c r="IL32" s="1"/>
      <c r="IM32" s="405"/>
      <c r="IN32" s="178"/>
      <c r="IO32" s="1"/>
      <c r="IP32" s="1"/>
      <c r="IQ32" s="1" t="s">
        <v>3242</v>
      </c>
      <c r="IR32" s="1" t="s">
        <v>3692</v>
      </c>
      <c r="IS32" s="1" t="s">
        <v>3693</v>
      </c>
      <c r="IT32" s="1"/>
      <c r="IU32" s="1"/>
      <c r="IV32" s="1"/>
      <c r="IW32" s="1"/>
      <c r="IX32" s="1"/>
      <c r="IY32" s="1"/>
      <c r="IZ32" s="1"/>
      <c r="JA32" s="1"/>
      <c r="JB32" s="1"/>
      <c r="JC32" s="178"/>
      <c r="JD32" s="135"/>
    </row>
    <row r="33" spans="9:264">
      <c r="I33" s="22"/>
      <c r="J33" s="156" t="s">
        <v>95</v>
      </c>
      <c r="K33" s="156" t="s">
        <v>95</v>
      </c>
      <c r="L33" s="22">
        <v>20</v>
      </c>
      <c r="M33" s="22">
        <v>46</v>
      </c>
      <c r="N33" s="22">
        <v>5.7</v>
      </c>
      <c r="O33" s="22">
        <v>-25</v>
      </c>
      <c r="P33" s="22">
        <v>-16</v>
      </c>
      <c r="Q33" s="22">
        <v>-15</v>
      </c>
      <c r="R33" s="22" t="s">
        <v>96</v>
      </c>
      <c r="S33" s="23" t="s">
        <v>97</v>
      </c>
      <c r="V33" s="4"/>
      <c r="Y33" s="6" t="b">
        <v>0</v>
      </c>
      <c r="AB33" s="5"/>
      <c r="AC33" s="150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348" t="s">
        <v>2793</v>
      </c>
      <c r="AT33" s="56"/>
      <c r="AU33" s="56"/>
      <c r="AV33" s="56"/>
      <c r="AW33" s="56"/>
      <c r="AX33" s="56"/>
      <c r="AY33" s="62"/>
      <c r="AZ33" s="5"/>
      <c r="BA33" s="5"/>
      <c r="BB33" s="5"/>
      <c r="BC33" s="5"/>
      <c r="BD33" s="97"/>
      <c r="BE33" s="38" t="s">
        <v>2794</v>
      </c>
      <c r="BF33" s="65" t="str">
        <f>AS72</f>
        <v>ωωχ ε</v>
      </c>
      <c r="BN33" s="97"/>
      <c r="BO33" s="166"/>
      <c r="BQ33" s="95"/>
      <c r="BS33" s="88"/>
      <c r="BU33" s="80"/>
      <c r="BV33" s="128"/>
      <c r="BW33" s="128"/>
      <c r="BX33" s="128"/>
      <c r="BY33" s="128"/>
      <c r="CJ33" s="123"/>
      <c r="CK33" s="38" t="s">
        <v>2802</v>
      </c>
      <c r="CL33" s="65" t="str">
        <f>CL21</f>
        <v/>
      </c>
      <c r="CM33" s="127"/>
      <c r="CN33" s="38" t="s">
        <v>2802</v>
      </c>
      <c r="CO33" s="65" t="str">
        <f>CO21</f>
        <v/>
      </c>
      <c r="CP33" s="127"/>
      <c r="CQ33" s="6"/>
      <c r="CR33" s="138"/>
      <c r="CS33" s="140" t="s">
        <v>2863</v>
      </c>
      <c r="CT33" s="126">
        <f>CT25</f>
        <v>2000</v>
      </c>
      <c r="CW33" s="170"/>
      <c r="CY33" s="1" t="s">
        <v>2908</v>
      </c>
      <c r="CZ33" s="176">
        <f>CZ28+CZ31</f>
        <v>0</v>
      </c>
      <c r="DC33" s="182"/>
      <c r="DE33" s="1" t="s">
        <v>2967</v>
      </c>
      <c r="DF33" s="404">
        <f>IF(DF25&lt;3,DF25,0)</f>
        <v>0</v>
      </c>
      <c r="DG33" s="1" t="s">
        <v>2931</v>
      </c>
      <c r="DH33" s="1">
        <f t="shared" si="1"/>
        <v>0</v>
      </c>
      <c r="DI33" s="1" t="s">
        <v>2968</v>
      </c>
      <c r="DJ33" s="170">
        <f>IF(DH33&gt;0,2,0)</f>
        <v>0</v>
      </c>
      <c r="DK33" s="182"/>
      <c r="DM33" s="2"/>
      <c r="DN33" s="37" t="s">
        <v>270</v>
      </c>
      <c r="DO33" s="37" t="s">
        <v>270</v>
      </c>
      <c r="DP33" s="37" t="s">
        <v>270</v>
      </c>
      <c r="DQ33" s="37" t="s">
        <v>3309</v>
      </c>
      <c r="DR33" s="37" t="s">
        <v>3310</v>
      </c>
      <c r="DS33" s="22"/>
      <c r="DT33" s="6"/>
      <c r="DW33" s="200" t="s">
        <v>3311</v>
      </c>
      <c r="DZ33" s="48"/>
      <c r="ED33" s="3"/>
      <c r="EE33" s="3"/>
      <c r="EF33" s="3"/>
      <c r="EG33" s="3"/>
      <c r="EH33" s="493"/>
      <c r="EI33" s="511"/>
      <c r="EJ33" s="574" t="str">
        <f>FP58</f>
        <v/>
      </c>
      <c r="EK33" s="575" t="str">
        <f>FQ58</f>
        <v/>
      </c>
      <c r="EL33" s="347"/>
      <c r="EM33" s="347"/>
      <c r="EN33" s="432" t="str">
        <f>FS58</f>
        <v/>
      </c>
      <c r="EO33" s="347"/>
      <c r="EP33" s="3"/>
      <c r="EQ33" s="3"/>
      <c r="ER33" s="3"/>
      <c r="ET33" s="97"/>
      <c r="EU33" s="38" t="s">
        <v>2794</v>
      </c>
      <c r="EV33" s="65">
        <f>EL55</f>
        <v>0</v>
      </c>
      <c r="EW33" s="65">
        <f>EM55</f>
        <v>0</v>
      </c>
      <c r="FH33" s="97"/>
      <c r="FK33" s="135"/>
      <c r="FY33" s="2"/>
      <c r="FZ33" s="37" t="s">
        <v>248</v>
      </c>
      <c r="GA33" s="37" t="s">
        <v>248</v>
      </c>
      <c r="GB33" s="37" t="s">
        <v>3210</v>
      </c>
      <c r="GC33" s="37" t="s">
        <v>3721</v>
      </c>
      <c r="GD33" s="37" t="s">
        <v>251</v>
      </c>
      <c r="GF33" s="22"/>
      <c r="GI33" s="313" t="s">
        <v>3305</v>
      </c>
      <c r="GL33" s="48"/>
      <c r="GV33" s="128"/>
      <c r="GW33" s="4"/>
      <c r="GX33" s="37" t="s">
        <v>3725</v>
      </c>
      <c r="GY33" s="37" t="s">
        <v>3725</v>
      </c>
      <c r="GZ33" s="37" t="s">
        <v>3701</v>
      </c>
      <c r="HA33" s="37" t="s">
        <v>3725</v>
      </c>
      <c r="HB33" s="37" t="s">
        <v>789</v>
      </c>
      <c r="HC33" s="37"/>
      <c r="HJ33" s="48"/>
      <c r="HK33" s="170"/>
      <c r="HM33" s="1" t="s">
        <v>3726</v>
      </c>
      <c r="HT33" s="128"/>
      <c r="HU33" s="534">
        <v>17</v>
      </c>
      <c r="HV33" s="534" t="s">
        <v>3727</v>
      </c>
      <c r="IB33" s="170"/>
      <c r="IC33" s="405"/>
      <c r="ID33" s="527" t="s">
        <v>769</v>
      </c>
      <c r="IE33" s="528" t="s">
        <v>769</v>
      </c>
      <c r="IF33" s="37" t="s">
        <v>3728</v>
      </c>
      <c r="IG33" s="37"/>
      <c r="IH33" s="37"/>
      <c r="II33" s="1"/>
      <c r="IM33" s="405"/>
      <c r="IN33" s="178"/>
      <c r="IO33" s="1"/>
      <c r="IP33" s="108" t="s">
        <v>3697</v>
      </c>
      <c r="IQ33" s="65" t="str">
        <f>IQ30</f>
        <v/>
      </c>
      <c r="IR33" s="141" t="s">
        <v>2069</v>
      </c>
      <c r="IS33" s="65" t="str">
        <f>IQ31</f>
        <v/>
      </c>
      <c r="IT33" s="1"/>
      <c r="IU33" s="1"/>
      <c r="IV33" s="1"/>
      <c r="IW33" s="1"/>
      <c r="IX33" s="1"/>
      <c r="IY33" s="1"/>
      <c r="IZ33" s="1"/>
      <c r="JA33" s="1"/>
      <c r="JB33" s="1"/>
      <c r="JC33" s="178"/>
      <c r="JD33" s="135"/>
    </row>
    <row r="34" spans="9:264">
      <c r="I34" s="22"/>
      <c r="J34" s="156" t="s">
        <v>98</v>
      </c>
      <c r="K34" s="156" t="s">
        <v>98</v>
      </c>
      <c r="L34" s="22">
        <v>20</v>
      </c>
      <c r="M34" s="22">
        <v>51</v>
      </c>
      <c r="N34" s="22">
        <v>49.3</v>
      </c>
      <c r="O34" s="22">
        <v>-26</v>
      </c>
      <c r="P34" s="22">
        <v>-55</v>
      </c>
      <c r="Q34" s="22">
        <v>-9</v>
      </c>
      <c r="R34" s="22" t="s">
        <v>99</v>
      </c>
      <c r="S34" s="23" t="s">
        <v>100</v>
      </c>
      <c r="V34" s="4"/>
      <c r="Y34" s="6" t="s">
        <v>2877</v>
      </c>
      <c r="AB34" s="5"/>
      <c r="AC34" s="150"/>
      <c r="AI34" s="3"/>
      <c r="AJ34" s="3"/>
      <c r="AK34" s="3"/>
      <c r="AL34" s="3"/>
      <c r="AM34" s="3"/>
      <c r="AN34" s="3"/>
      <c r="AO34" s="3"/>
      <c r="AP34" s="432" t="s">
        <v>3565</v>
      </c>
      <c r="AQ34" s="436" t="str">
        <f>BS147</f>
        <v/>
      </c>
      <c r="AR34" s="347"/>
      <c r="AS34" s="347"/>
      <c r="AT34" s="347"/>
      <c r="AU34" s="347"/>
      <c r="AV34" s="3"/>
      <c r="AW34" s="3"/>
      <c r="AX34" s="3"/>
      <c r="AY34" s="3"/>
      <c r="AZ34" s="3"/>
      <c r="BA34" s="3"/>
      <c r="BB34" s="3"/>
      <c r="BC34" s="3"/>
      <c r="BD34" s="97"/>
      <c r="BE34" s="38" t="s">
        <v>2823</v>
      </c>
      <c r="BF34" s="65" t="str">
        <f>AS73</f>
        <v>ωωχ ε</v>
      </c>
      <c r="BN34" s="97"/>
      <c r="BO34" s="166"/>
      <c r="BP34" s="166"/>
      <c r="BQ34" s="166"/>
      <c r="BR34" s="136" t="s">
        <v>2891</v>
      </c>
      <c r="BS34" s="166"/>
      <c r="BT34" s="166"/>
      <c r="BU34" s="166"/>
      <c r="BV34" s="166"/>
      <c r="BW34" s="166"/>
      <c r="BX34" s="166"/>
      <c r="BY34" s="166"/>
      <c r="BZ34" s="166"/>
      <c r="CA34" s="166"/>
      <c r="CB34" s="166"/>
      <c r="CC34" s="166"/>
      <c r="CD34" s="166"/>
      <c r="CE34" s="166"/>
      <c r="CF34" s="166"/>
      <c r="CG34" s="166"/>
      <c r="CH34" s="166"/>
      <c r="CI34" s="166"/>
      <c r="CJ34" s="123"/>
      <c r="CK34" s="38" t="s">
        <v>2818</v>
      </c>
      <c r="CL34" s="128" t="b">
        <f>ISNUMBER(CL33)</f>
        <v>0</v>
      </c>
      <c r="CM34" s="127" t="b">
        <v>0</v>
      </c>
      <c r="CN34" s="38" t="s">
        <v>2818</v>
      </c>
      <c r="CO34" s="128" t="b">
        <f>ISNUMBER(CO33)</f>
        <v>0</v>
      </c>
      <c r="CP34" s="127" t="b">
        <v>0</v>
      </c>
      <c r="CQ34" s="6"/>
      <c r="CR34" s="138"/>
      <c r="CS34" s="38" t="s">
        <v>3063</v>
      </c>
      <c r="CT34" s="127">
        <f>CT28</f>
        <v>0</v>
      </c>
      <c r="CW34" s="170"/>
      <c r="CY34" s="177" t="s">
        <v>2909</v>
      </c>
      <c r="DC34" s="182"/>
      <c r="DE34" s="1" t="s">
        <v>2969</v>
      </c>
      <c r="DF34" s="404">
        <f>IF(DF25&lt;2,DF25,0)</f>
        <v>0</v>
      </c>
      <c r="DG34" s="1" t="s">
        <v>2931</v>
      </c>
      <c r="DH34" s="1">
        <f t="shared" si="1"/>
        <v>0</v>
      </c>
      <c r="DI34" s="1" t="s">
        <v>2970</v>
      </c>
      <c r="DJ34" s="170">
        <f>IF(DH34&gt;0,1,0)</f>
        <v>0</v>
      </c>
      <c r="DK34" s="182"/>
      <c r="DM34" s="2"/>
      <c r="DN34" s="37" t="s">
        <v>3312</v>
      </c>
      <c r="DO34" s="37" t="s">
        <v>3312</v>
      </c>
      <c r="DP34" s="37" t="s">
        <v>2467</v>
      </c>
      <c r="DQ34" s="37" t="s">
        <v>3313</v>
      </c>
      <c r="DR34" s="37" t="s">
        <v>2468</v>
      </c>
      <c r="DS34" s="22"/>
      <c r="DT34" s="6"/>
      <c r="DW34" s="1" t="s">
        <v>3304</v>
      </c>
      <c r="DX34" s="425" t="str">
        <f>IF(DX25=0,"",DX25)</f>
        <v/>
      </c>
      <c r="DZ34" s="48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T34" s="97"/>
      <c r="EU34" s="38" t="s">
        <v>2823</v>
      </c>
      <c r="EV34" s="65">
        <f>EL56</f>
        <v>0</v>
      </c>
      <c r="EW34" s="65">
        <f>EM56</f>
        <v>0</v>
      </c>
      <c r="FH34" s="97"/>
      <c r="FK34" s="135"/>
      <c r="FY34" s="2"/>
      <c r="FZ34" s="37" t="s">
        <v>3306</v>
      </c>
      <c r="GA34" s="37" t="s">
        <v>3306</v>
      </c>
      <c r="GB34" s="37" t="s">
        <v>3210</v>
      </c>
      <c r="GC34" s="37" t="s">
        <v>3721</v>
      </c>
      <c r="GD34" s="37" t="s">
        <v>251</v>
      </c>
      <c r="GF34" s="22"/>
      <c r="GI34" s="1" t="s">
        <v>3304</v>
      </c>
      <c r="GJ34" s="166" t="str">
        <f>IF(GJ27=0,"",GJ27)</f>
        <v/>
      </c>
      <c r="GL34" s="48"/>
      <c r="GV34" s="128"/>
      <c r="GW34" s="4"/>
      <c r="GX34" s="37" t="s">
        <v>791</v>
      </c>
      <c r="GY34" s="37" t="s">
        <v>791</v>
      </c>
      <c r="GZ34" s="37" t="s">
        <v>3701</v>
      </c>
      <c r="HA34" s="37" t="s">
        <v>791</v>
      </c>
      <c r="HB34" s="37" t="s">
        <v>789</v>
      </c>
      <c r="HC34" s="37"/>
      <c r="HJ34" s="48"/>
      <c r="HK34" s="170"/>
      <c r="HM34" s="1" t="s">
        <v>3605</v>
      </c>
      <c r="HN34" s="1">
        <f>IF(HN19=HM34,3,0)</f>
        <v>0</v>
      </c>
      <c r="HT34" s="128"/>
      <c r="HU34" s="534">
        <v>18</v>
      </c>
      <c r="HV34" s="534" t="s">
        <v>3729</v>
      </c>
      <c r="IB34" s="170"/>
      <c r="IC34" s="405"/>
      <c r="ID34" s="527" t="s">
        <v>2375</v>
      </c>
      <c r="IE34" s="528" t="s">
        <v>2375</v>
      </c>
      <c r="IF34" s="37" t="s">
        <v>3730</v>
      </c>
      <c r="IG34" s="37"/>
      <c r="IH34" s="37"/>
      <c r="II34" s="1"/>
      <c r="IJ34" s="6" t="s">
        <v>4044</v>
      </c>
      <c r="IK34" t="str">
        <f>IF(IK29=1,"ωωω δ",IK31)</f>
        <v/>
      </c>
      <c r="IM34" s="405"/>
      <c r="IN34" s="178"/>
      <c r="IO34" s="1"/>
      <c r="IP34" s="1" t="s">
        <v>3635</v>
      </c>
      <c r="IQ34" s="135" t="str">
        <f>CONCATENATE(IQ33,IR33,IS33)</f>
        <v xml:space="preserve"> </v>
      </c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78"/>
      <c r="JD34" s="135"/>
    </row>
    <row r="35" spans="9:264" ht="20.25">
      <c r="I35" s="24" t="s">
        <v>101</v>
      </c>
      <c r="J35" s="157" t="s">
        <v>102</v>
      </c>
      <c r="K35" s="157" t="s">
        <v>102</v>
      </c>
      <c r="L35" s="24" t="s">
        <v>39</v>
      </c>
      <c r="M35" s="24" t="s">
        <v>101</v>
      </c>
      <c r="N35" s="24" t="s">
        <v>101</v>
      </c>
      <c r="O35" s="24" t="s">
        <v>40</v>
      </c>
      <c r="P35" s="24" t="s">
        <v>103</v>
      </c>
      <c r="Q35" s="24" t="s">
        <v>104</v>
      </c>
      <c r="R35" s="24" t="s">
        <v>105</v>
      </c>
      <c r="S35" s="24" t="s">
        <v>103</v>
      </c>
      <c r="V35" s="4"/>
      <c r="X35" s="128" t="s">
        <v>2882</v>
      </c>
      <c r="Y35" s="6" t="b">
        <f>ISNUMBER(Y32)</f>
        <v>1</v>
      </c>
      <c r="AB35" s="5"/>
      <c r="AC35" s="150"/>
      <c r="AI35" s="3"/>
      <c r="AJ35" s="3"/>
      <c r="AK35" s="3"/>
      <c r="AL35" s="3"/>
      <c r="AM35" s="3"/>
      <c r="AN35" s="3"/>
      <c r="AO35" s="3"/>
      <c r="AP35" s="354"/>
      <c r="AQ35" s="349" t="str">
        <f>BS146</f>
        <v/>
      </c>
      <c r="AR35" s="433" t="str">
        <f>BS144</f>
        <v/>
      </c>
      <c r="AS35" s="434" t="str">
        <f>BS145</f>
        <v/>
      </c>
      <c r="AT35" s="432"/>
      <c r="AU35" s="347"/>
      <c r="AV35" s="3"/>
      <c r="AW35" s="3"/>
      <c r="AX35" s="3"/>
      <c r="AY35" s="3"/>
      <c r="AZ35" s="3"/>
      <c r="BA35" s="3"/>
      <c r="BB35" s="3"/>
      <c r="BC35" s="3"/>
      <c r="BD35" s="97"/>
      <c r="BE35" s="38" t="s">
        <v>3239</v>
      </c>
      <c r="BF35" s="65">
        <f>AP76</f>
        <v>0</v>
      </c>
      <c r="BN35" s="97"/>
      <c r="BO35" s="166"/>
      <c r="BP35" s="175"/>
      <c r="BQ35" s="175"/>
      <c r="BR35" s="6"/>
      <c r="BT35" s="175"/>
      <c r="BU35" s="175"/>
      <c r="BV35" s="175"/>
      <c r="BW35" s="294" t="s">
        <v>3176</v>
      </c>
      <c r="BX35" s="175"/>
      <c r="BY35" s="175"/>
      <c r="BZ35" s="175"/>
      <c r="CA35" s="175"/>
      <c r="CB35" s="175"/>
      <c r="CC35" s="175"/>
      <c r="CD35" s="175"/>
      <c r="CE35" s="175"/>
      <c r="CF35" s="175"/>
      <c r="CG35" s="175"/>
      <c r="CH35" s="175"/>
      <c r="CI35" s="175"/>
      <c r="CJ35" s="123"/>
      <c r="CK35" s="38" t="s">
        <v>2855</v>
      </c>
      <c r="CL35" s="129">
        <f>IF(CL34=CM34,0,CL33)</f>
        <v>0</v>
      </c>
      <c r="CM35" s="127"/>
      <c r="CN35" s="38" t="s">
        <v>2855</v>
      </c>
      <c r="CO35" s="129">
        <f>IF(CO34=CP34,0,CO33)</f>
        <v>0</v>
      </c>
      <c r="CP35" s="127"/>
      <c r="CQ35" s="6"/>
      <c r="CR35" s="138"/>
      <c r="CS35" s="38" t="s">
        <v>3064</v>
      </c>
      <c r="CT35" s="127">
        <f>CT31</f>
        <v>0</v>
      </c>
      <c r="CW35" s="170"/>
      <c r="CY35" s="1" t="s">
        <v>2910</v>
      </c>
      <c r="CZ35" s="1">
        <f>IF(CZ25&lt;0,CZ25,0)</f>
        <v>0</v>
      </c>
      <c r="DC35" s="182"/>
      <c r="DE35" s="1" t="s">
        <v>2971</v>
      </c>
      <c r="DF35" s="404">
        <f>IF(DF25&lt;1,DF25,0)</f>
        <v>0</v>
      </c>
      <c r="DG35" s="1" t="s">
        <v>2972</v>
      </c>
      <c r="DH35" s="406">
        <f>DF25-DJ35</f>
        <v>0</v>
      </c>
      <c r="DI35" s="1" t="s">
        <v>2973</v>
      </c>
      <c r="DJ35" s="406">
        <f>DJ26+DJ27+DJ28+DJ29+DJ30+DJ31+DJ32+DJ33+DJ34</f>
        <v>0</v>
      </c>
      <c r="DK35" s="182"/>
      <c r="DM35" s="2"/>
      <c r="DN35" s="37" t="s">
        <v>3314</v>
      </c>
      <c r="DO35" s="37" t="s">
        <v>3314</v>
      </c>
      <c r="DP35" s="37" t="s">
        <v>2467</v>
      </c>
      <c r="DQ35" s="37" t="s">
        <v>3313</v>
      </c>
      <c r="DR35" s="37" t="s">
        <v>2468</v>
      </c>
      <c r="DS35" s="22"/>
      <c r="DT35" s="6"/>
      <c r="DZ35" s="48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T35" s="97"/>
      <c r="EU35" s="38" t="s">
        <v>3239</v>
      </c>
      <c r="EV35" s="65">
        <f>EI59</f>
        <v>0</v>
      </c>
      <c r="FH35" s="97"/>
      <c r="FK35" s="135"/>
      <c r="FY35" s="2"/>
      <c r="FZ35" s="37" t="s">
        <v>3210</v>
      </c>
      <c r="GA35" s="37" t="s">
        <v>3210</v>
      </c>
      <c r="GB35" s="37" t="s">
        <v>3210</v>
      </c>
      <c r="GC35" s="37" t="s">
        <v>3721</v>
      </c>
      <c r="GD35" s="37" t="s">
        <v>251</v>
      </c>
      <c r="GF35" s="22"/>
      <c r="GI35" s="1" t="s">
        <v>3307</v>
      </c>
      <c r="GL35" s="48"/>
      <c r="GV35" s="128"/>
      <c r="GW35" s="4"/>
      <c r="GX35" s="37" t="s">
        <v>823</v>
      </c>
      <c r="GY35" s="37" t="s">
        <v>823</v>
      </c>
      <c r="GZ35" s="37" t="s">
        <v>824</v>
      </c>
      <c r="HA35" s="37" t="s">
        <v>823</v>
      </c>
      <c r="HB35" s="37" t="s">
        <v>821</v>
      </c>
      <c r="HC35" s="37"/>
      <c r="HJ35" s="48"/>
      <c r="HK35" s="170"/>
      <c r="HM35" s="1" t="s">
        <v>3731</v>
      </c>
      <c r="HN35" s="1">
        <f>IF(HN19=HM35,3,0)</f>
        <v>0</v>
      </c>
      <c r="HT35" s="128"/>
      <c r="HU35" s="534">
        <v>19</v>
      </c>
      <c r="HV35" s="534" t="s">
        <v>3732</v>
      </c>
      <c r="IB35" s="170"/>
      <c r="IC35" s="405"/>
      <c r="ID35" s="527" t="s">
        <v>960</v>
      </c>
      <c r="IE35" s="528" t="s">
        <v>960</v>
      </c>
      <c r="IF35" s="37" t="s">
        <v>3733</v>
      </c>
      <c r="IG35" s="37"/>
      <c r="IH35" s="37"/>
      <c r="II35" s="1"/>
      <c r="IJ35" s="6" t="s">
        <v>4032</v>
      </c>
      <c r="IK35" s="6" t="str">
        <f>IF(IK29=3,"ωωω γ",IK34)</f>
        <v/>
      </c>
      <c r="IM35" s="405"/>
      <c r="IN35" s="178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78"/>
      <c r="JD35" s="135"/>
    </row>
    <row r="36" spans="9:264">
      <c r="I36" s="22"/>
      <c r="J36" s="156" t="s">
        <v>106</v>
      </c>
      <c r="K36" s="156" t="s">
        <v>106</v>
      </c>
      <c r="L36" s="22">
        <v>19</v>
      </c>
      <c r="M36" s="22">
        <v>28</v>
      </c>
      <c r="N36" s="22">
        <v>42.3</v>
      </c>
      <c r="O36" s="22">
        <v>24</v>
      </c>
      <c r="P36" s="22">
        <v>39</v>
      </c>
      <c r="Q36" s="22">
        <v>54</v>
      </c>
      <c r="R36" s="22" t="s">
        <v>107</v>
      </c>
      <c r="S36" s="22" t="s">
        <v>108</v>
      </c>
      <c r="V36" s="4"/>
      <c r="X36" s="128" t="s">
        <v>2878</v>
      </c>
      <c r="Y36" s="4" t="str">
        <f>IF(Y35=Y33,Y34,Y28)</f>
        <v>ωωωωωω</v>
      </c>
      <c r="AB36" s="5"/>
      <c r="AC36" s="150"/>
      <c r="AI36" s="3"/>
      <c r="AJ36" s="3"/>
      <c r="AK36" s="3"/>
      <c r="AL36" s="3"/>
      <c r="AM36" s="3"/>
      <c r="AN36" s="3"/>
      <c r="AO36" s="3"/>
      <c r="AP36" s="348" t="s">
        <v>2793</v>
      </c>
      <c r="AQ36" s="3"/>
      <c r="AR36" s="348"/>
      <c r="AS36" s="348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97"/>
      <c r="BE36" s="95" t="s">
        <v>2866</v>
      </c>
      <c r="BF36" s="65">
        <f>AS60</f>
        <v>2018</v>
      </c>
      <c r="BN36" s="97"/>
      <c r="BO36" s="166"/>
      <c r="BP36" s="175"/>
      <c r="BQ36" s="175"/>
      <c r="BR36" s="6"/>
      <c r="BS36" s="267" t="s">
        <v>3174</v>
      </c>
      <c r="BT36" s="175"/>
      <c r="BU36" s="175"/>
      <c r="BV36" s="175"/>
      <c r="BW36" s="175"/>
      <c r="BX36" s="175"/>
      <c r="BY36" s="175"/>
      <c r="BZ36" s="175"/>
      <c r="CA36" s="175"/>
      <c r="CB36" s="175"/>
      <c r="CC36" s="175"/>
      <c r="CD36" s="175"/>
      <c r="CE36" s="175"/>
      <c r="CF36" s="175"/>
      <c r="CG36" s="175"/>
      <c r="CH36" s="175"/>
      <c r="CI36" s="175"/>
      <c r="CJ36" s="123"/>
      <c r="CK36" s="130" t="s">
        <v>3025</v>
      </c>
      <c r="CL36" s="131">
        <f>IF(CL34=CM34,1,0)</f>
        <v>1</v>
      </c>
      <c r="CM36" s="127"/>
      <c r="CN36" s="130" t="s">
        <v>3025</v>
      </c>
      <c r="CO36" s="131">
        <f>IF(CO34=CP34,1,0)</f>
        <v>1</v>
      </c>
      <c r="CP36" s="127"/>
      <c r="CQ36" s="6"/>
      <c r="CR36" s="138"/>
      <c r="CS36" s="38"/>
      <c r="CT36" s="127"/>
      <c r="CW36" s="170"/>
      <c r="CY36" s="1" t="s">
        <v>2911</v>
      </c>
      <c r="CZ36" s="178">
        <f>IF(CZ35&lt;-12,0,CZ35)</f>
        <v>0</v>
      </c>
      <c r="DC36" s="182"/>
      <c r="DK36" s="182"/>
      <c r="DM36" s="2"/>
      <c r="DN36" s="37" t="s">
        <v>3315</v>
      </c>
      <c r="DO36" s="37" t="s">
        <v>3315</v>
      </c>
      <c r="DP36" s="37" t="s">
        <v>2467</v>
      </c>
      <c r="DQ36" s="37" t="s">
        <v>3313</v>
      </c>
      <c r="DR36" s="37" t="s">
        <v>2468</v>
      </c>
      <c r="DS36" s="22"/>
      <c r="DT36" s="6"/>
      <c r="DZ36" s="48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T36" s="97"/>
      <c r="EU36" s="95" t="s">
        <v>2866</v>
      </c>
      <c r="EV36" s="65">
        <f>EN43</f>
        <v>2000</v>
      </c>
      <c r="FH36" s="97"/>
      <c r="FK36" s="135"/>
      <c r="FY36" s="2"/>
      <c r="FZ36" s="37" t="s">
        <v>3308</v>
      </c>
      <c r="GA36" s="37" t="s">
        <v>3308</v>
      </c>
      <c r="GB36" s="37" t="s">
        <v>270</v>
      </c>
      <c r="GC36" s="37" t="s">
        <v>3735</v>
      </c>
      <c r="GD36" s="37" t="s">
        <v>3736</v>
      </c>
      <c r="GF36" s="22"/>
      <c r="GI36" s="1" t="s">
        <v>3304</v>
      </c>
      <c r="GJ36" s="123" t="str">
        <f>IF(GJ28=0,"",GJ28)</f>
        <v/>
      </c>
      <c r="GL36" s="48"/>
      <c r="GV36" s="128"/>
      <c r="GW36" s="4"/>
      <c r="GX36" s="37" t="s">
        <v>875</v>
      </c>
      <c r="GY36" s="37" t="s">
        <v>875</v>
      </c>
      <c r="GZ36" s="37" t="s">
        <v>876</v>
      </c>
      <c r="HA36" s="37" t="s">
        <v>875</v>
      </c>
      <c r="HB36" s="37" t="s">
        <v>3220</v>
      </c>
      <c r="HC36" s="37"/>
      <c r="HJ36" s="48"/>
      <c r="HK36" s="170"/>
      <c r="HM36" s="1" t="s">
        <v>3737</v>
      </c>
      <c r="HN36" s="1">
        <f>IF(HN19=HM36,3,0)</f>
        <v>0</v>
      </c>
      <c r="HT36" s="128"/>
      <c r="HU36" s="534">
        <v>20</v>
      </c>
      <c r="HV36" s="534" t="s">
        <v>3738</v>
      </c>
      <c r="IB36" s="170"/>
      <c r="IC36" s="405"/>
      <c r="ID36" s="527" t="s">
        <v>3739</v>
      </c>
      <c r="IE36" s="528" t="s">
        <v>3739</v>
      </c>
      <c r="IF36" s="37" t="s">
        <v>3740</v>
      </c>
      <c r="IG36" s="37"/>
      <c r="IH36" s="37"/>
      <c r="II36" s="1"/>
      <c r="IJ36" s="1" t="s">
        <v>4033</v>
      </c>
      <c r="IL36" s="1"/>
      <c r="IM36" s="405"/>
      <c r="IN36" s="178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78"/>
      <c r="JD36" s="135"/>
    </row>
    <row r="37" spans="9:264">
      <c r="I37" s="24" t="s">
        <v>109</v>
      </c>
      <c r="J37" s="157" t="s">
        <v>110</v>
      </c>
      <c r="K37" s="157" t="s">
        <v>110</v>
      </c>
      <c r="L37" s="24" t="s">
        <v>39</v>
      </c>
      <c r="M37" s="24" t="s">
        <v>111</v>
      </c>
      <c r="N37" s="24" t="s">
        <v>112</v>
      </c>
      <c r="O37" s="24" t="s">
        <v>40</v>
      </c>
      <c r="P37" s="24" t="s">
        <v>113</v>
      </c>
      <c r="Q37" s="24" t="s">
        <v>114</v>
      </c>
      <c r="R37" s="24" t="s">
        <v>115</v>
      </c>
      <c r="S37" s="24" t="s">
        <v>113</v>
      </c>
      <c r="V37" s="4"/>
      <c r="X37" s="168" t="s">
        <v>2873</v>
      </c>
      <c r="AB37" s="5"/>
      <c r="AC37" s="145" t="s">
        <v>2872</v>
      </c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97"/>
      <c r="BN37" s="97"/>
      <c r="BO37" s="166"/>
      <c r="BP37" s="175"/>
      <c r="BQ37" s="175"/>
      <c r="BR37" s="6"/>
      <c r="BS37" s="175" t="s">
        <v>3167</v>
      </c>
      <c r="BT37" s="175"/>
      <c r="BU37" s="175"/>
      <c r="BV37" s="175"/>
      <c r="BW37" s="175"/>
      <c r="BX37" s="175"/>
      <c r="BY37" s="175"/>
      <c r="BZ37" s="175"/>
      <c r="CA37" s="175"/>
      <c r="CB37" s="175"/>
      <c r="CC37" s="175"/>
      <c r="CD37" s="175"/>
      <c r="CE37" s="175"/>
      <c r="CF37" s="175"/>
      <c r="CG37" s="175"/>
      <c r="CH37" s="175"/>
      <c r="CI37" s="175"/>
      <c r="CJ37" s="123"/>
      <c r="CK37" s="38" t="s">
        <v>2856</v>
      </c>
      <c r="CL37" s="131">
        <f>CL36+CL31+CL26</f>
        <v>3</v>
      </c>
      <c r="CM37" s="127"/>
      <c r="CN37" s="38" t="s">
        <v>2856</v>
      </c>
      <c r="CO37" s="131">
        <f>CO36+CO31+CO26</f>
        <v>3</v>
      </c>
      <c r="CP37" s="127"/>
      <c r="CQ37" s="6"/>
      <c r="CR37" s="138"/>
      <c r="CS37" s="133" t="s">
        <v>3065</v>
      </c>
      <c r="CT37" s="127"/>
      <c r="CW37" s="170"/>
      <c r="CY37" s="1" t="s">
        <v>2912</v>
      </c>
      <c r="CZ37" s="1">
        <f>IF(CZ25&gt;12,CZ25,0)</f>
        <v>0</v>
      </c>
      <c r="DC37" s="182"/>
      <c r="DE37" s="196" t="s">
        <v>2974</v>
      </c>
      <c r="DF37" s="197"/>
      <c r="DG37" s="108" t="s">
        <v>2975</v>
      </c>
      <c r="DI37" s="108" t="s">
        <v>2976</v>
      </c>
      <c r="DK37" s="182"/>
      <c r="DM37" s="2"/>
      <c r="DN37" s="37" t="s">
        <v>2467</v>
      </c>
      <c r="DO37" s="37" t="s">
        <v>2467</v>
      </c>
      <c r="DP37" s="37" t="s">
        <v>2467</v>
      </c>
      <c r="DQ37" s="37" t="s">
        <v>3313</v>
      </c>
      <c r="DR37" s="37" t="s">
        <v>2468</v>
      </c>
      <c r="DS37" s="22"/>
      <c r="DT37" s="6"/>
      <c r="DZ37" s="48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T37" s="97"/>
      <c r="FH37" s="97"/>
      <c r="FK37" s="135"/>
      <c r="FY37" s="2"/>
      <c r="FZ37" s="37" t="s">
        <v>270</v>
      </c>
      <c r="GA37" s="37" t="s">
        <v>270</v>
      </c>
      <c r="GB37" s="37" t="s">
        <v>270</v>
      </c>
      <c r="GC37" s="37" t="s">
        <v>3735</v>
      </c>
      <c r="GD37" s="37" t="s">
        <v>3736</v>
      </c>
      <c r="GF37" s="22"/>
      <c r="GI37" s="200" t="s">
        <v>3311</v>
      </c>
      <c r="GL37" s="48"/>
      <c r="GV37" s="128"/>
      <c r="GW37" s="4"/>
      <c r="GX37" s="37" t="s">
        <v>834</v>
      </c>
      <c r="GY37" s="37" t="s">
        <v>834</v>
      </c>
      <c r="GZ37" s="37" t="s">
        <v>835</v>
      </c>
      <c r="HA37" s="37" t="s">
        <v>834</v>
      </c>
      <c r="HB37" s="37" t="s">
        <v>832</v>
      </c>
      <c r="HC37" s="37"/>
      <c r="HJ37" s="48"/>
      <c r="HK37" s="170"/>
      <c r="HM37" s="1" t="s">
        <v>3688</v>
      </c>
      <c r="HN37" s="170">
        <f>HN34+HN35+HN36</f>
        <v>0</v>
      </c>
      <c r="HT37" s="128"/>
      <c r="HU37" s="534">
        <v>21</v>
      </c>
      <c r="HV37" s="534" t="s">
        <v>3742</v>
      </c>
      <c r="IB37" s="170"/>
      <c r="IC37" s="405"/>
      <c r="ID37" s="527" t="s">
        <v>2473</v>
      </c>
      <c r="IE37" s="528" t="s">
        <v>2473</v>
      </c>
      <c r="IF37" s="37" t="s">
        <v>3743</v>
      </c>
      <c r="IG37" s="37"/>
      <c r="IH37" s="37"/>
      <c r="II37" s="1"/>
      <c r="IJ37" s="602" t="s">
        <v>4012</v>
      </c>
      <c r="IK37" s="603">
        <f>IF(IK18=IL18,IK35,IK17)</f>
        <v>0</v>
      </c>
      <c r="IM37" s="405"/>
      <c r="IN37" s="178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78"/>
      <c r="JD37" s="135"/>
    </row>
    <row r="38" spans="9:264">
      <c r="I38" s="22"/>
      <c r="J38" s="156" t="s">
        <v>116</v>
      </c>
      <c r="K38" s="156" t="s">
        <v>116</v>
      </c>
      <c r="L38" s="22">
        <v>9</v>
      </c>
      <c r="M38" s="22">
        <v>31</v>
      </c>
      <c r="N38" s="22">
        <v>31.7</v>
      </c>
      <c r="O38" s="22">
        <v>63</v>
      </c>
      <c r="P38" s="22">
        <v>3</v>
      </c>
      <c r="Q38" s="22">
        <v>43</v>
      </c>
      <c r="R38" s="22" t="s">
        <v>117</v>
      </c>
      <c r="S38" s="22" t="s">
        <v>118</v>
      </c>
      <c r="V38" s="4"/>
      <c r="X38" s="128" t="s">
        <v>2839</v>
      </c>
      <c r="Y38" s="192" t="str">
        <f>LOOKUP(Y36,(J5:J917),(L5:L917))</f>
        <v/>
      </c>
      <c r="AB38" s="5"/>
      <c r="AC38" s="6" t="s">
        <v>10</v>
      </c>
      <c r="AD38" s="57" t="str">
        <f>Y38</f>
        <v/>
      </c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97"/>
      <c r="BE38" s="206" t="s">
        <v>2825</v>
      </c>
      <c r="BF38" s="126"/>
      <c r="BN38" s="97"/>
      <c r="BO38" s="166"/>
      <c r="BP38" s="175"/>
      <c r="BQ38" s="175"/>
      <c r="BR38" s="6" t="s">
        <v>3169</v>
      </c>
      <c r="BS38" s="175" t="s">
        <v>3168</v>
      </c>
      <c r="BT38" s="175"/>
      <c r="BU38" s="175"/>
      <c r="BV38" s="175"/>
      <c r="BW38" s="175"/>
      <c r="BX38" s="175"/>
      <c r="BY38" s="175"/>
      <c r="BZ38" s="175"/>
      <c r="CA38" s="175"/>
      <c r="CB38" s="175"/>
      <c r="CC38" s="175"/>
      <c r="CD38" s="175"/>
      <c r="CE38" s="175"/>
      <c r="CF38" s="175"/>
      <c r="CG38" s="175"/>
      <c r="CH38" s="175"/>
      <c r="CI38" s="175"/>
      <c r="CJ38" s="123"/>
      <c r="CK38" s="38" t="s">
        <v>3026</v>
      </c>
      <c r="CL38" s="207" t="str">
        <f>IF(CL37&gt;0,"Μη αναγνωρίσιμοι χαρακτήρες ","")</f>
        <v xml:space="preserve">Μη αναγνωρίσιμοι χαρακτήρες </v>
      </c>
      <c r="CM38" s="127"/>
      <c r="CN38" s="38" t="s">
        <v>3026</v>
      </c>
      <c r="CO38" s="207" t="str">
        <f>IF(CO37&gt;0,"Μη αναγνωρίσιμοι χαρακτήρες ","")</f>
        <v xml:space="preserve">Μη αναγνωρίσιμοι χαρακτήρες </v>
      </c>
      <c r="CP38" s="127"/>
      <c r="CQ38" s="6"/>
      <c r="CR38" s="138"/>
      <c r="CS38" s="38" t="s">
        <v>3066</v>
      </c>
      <c r="CT38" s="127">
        <f>CT33-2000</f>
        <v>0</v>
      </c>
      <c r="CW38" s="170"/>
      <c r="CY38" s="1" t="s">
        <v>2913</v>
      </c>
      <c r="CZ38" s="1">
        <f>CZ37-24</f>
        <v>-24</v>
      </c>
      <c r="DC38" s="182"/>
      <c r="DE38" s="6" t="s">
        <v>2977</v>
      </c>
      <c r="DF38" s="6"/>
      <c r="DG38" s="108" t="s">
        <v>2981</v>
      </c>
      <c r="DI38" s="1" t="s">
        <v>3274</v>
      </c>
      <c r="DJ38" s="406">
        <f>60*DH47</f>
        <v>0</v>
      </c>
      <c r="DK38" s="182"/>
      <c r="DM38" s="2"/>
      <c r="DN38" s="37" t="s">
        <v>3316</v>
      </c>
      <c r="DO38" s="37" t="s">
        <v>3316</v>
      </c>
      <c r="DP38" s="37" t="s">
        <v>286</v>
      </c>
      <c r="DQ38" s="37" t="s">
        <v>3317</v>
      </c>
      <c r="DR38" s="37" t="s">
        <v>287</v>
      </c>
      <c r="DS38" s="22"/>
      <c r="DT38" s="6"/>
      <c r="DW38" s="200"/>
      <c r="DZ38" s="48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T38" s="97"/>
      <c r="EU38" s="206" t="s">
        <v>2825</v>
      </c>
      <c r="EV38" s="126"/>
      <c r="FH38" s="97"/>
      <c r="FK38" s="135"/>
      <c r="FY38" s="2"/>
      <c r="FZ38" s="37" t="s">
        <v>3312</v>
      </c>
      <c r="GA38" s="37" t="s">
        <v>3312</v>
      </c>
      <c r="GB38" s="37" t="s">
        <v>2467</v>
      </c>
      <c r="GC38" s="37" t="s">
        <v>3745</v>
      </c>
      <c r="GD38" s="37" t="s">
        <v>2473</v>
      </c>
      <c r="GF38" s="22"/>
      <c r="GI38" s="1" t="s">
        <v>3304</v>
      </c>
      <c r="GJ38" s="545" t="str">
        <f>IF(GJ29=0,"",GJ29)</f>
        <v/>
      </c>
      <c r="GL38" s="48"/>
      <c r="GV38" s="128"/>
      <c r="GW38" s="4"/>
      <c r="GX38" s="37" t="s">
        <v>2374</v>
      </c>
      <c r="GY38" s="37" t="s">
        <v>2374</v>
      </c>
      <c r="GZ38" s="37" t="s">
        <v>2375</v>
      </c>
      <c r="HA38" s="37" t="s">
        <v>2374</v>
      </c>
      <c r="HB38" s="37" t="s">
        <v>3228</v>
      </c>
      <c r="HC38" s="37"/>
      <c r="HJ38" s="48"/>
      <c r="HK38" s="170"/>
      <c r="HM38" s="191">
        <v>4</v>
      </c>
      <c r="HT38" s="128"/>
      <c r="HU38" s="534">
        <v>22</v>
      </c>
      <c r="HV38" s="534" t="s">
        <v>3746</v>
      </c>
      <c r="IB38" s="170"/>
      <c r="IC38" s="405"/>
      <c r="ID38" s="527" t="s">
        <v>995</v>
      </c>
      <c r="IE38" s="528" t="s">
        <v>995</v>
      </c>
      <c r="IF38" s="37" t="s">
        <v>3747</v>
      </c>
      <c r="IG38" s="37"/>
      <c r="IH38" s="37"/>
      <c r="II38" s="1"/>
      <c r="IJ38" s="604"/>
      <c r="IK38" s="605"/>
      <c r="IM38" s="405"/>
      <c r="IN38" s="178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78"/>
      <c r="JD38" s="135"/>
    </row>
    <row r="39" spans="9:264">
      <c r="I39" s="22"/>
      <c r="J39" s="156" t="s">
        <v>119</v>
      </c>
      <c r="K39" s="156" t="s">
        <v>119</v>
      </c>
      <c r="L39" s="22">
        <v>11</v>
      </c>
      <c r="M39" s="22">
        <v>3</v>
      </c>
      <c r="N39" s="22">
        <v>43.7</v>
      </c>
      <c r="O39" s="22">
        <v>61</v>
      </c>
      <c r="P39" s="22">
        <v>45</v>
      </c>
      <c r="Q39" s="22">
        <v>4</v>
      </c>
      <c r="R39" s="22" t="s">
        <v>120</v>
      </c>
      <c r="S39" s="22" t="s">
        <v>121</v>
      </c>
      <c r="V39" s="4"/>
      <c r="X39" s="128" t="s">
        <v>2840</v>
      </c>
      <c r="Y39" s="192" t="str">
        <f>LOOKUP(Y36,(J5:J917),(M5:M917))</f>
        <v/>
      </c>
      <c r="AB39" s="5"/>
      <c r="AC39" s="6" t="s">
        <v>11</v>
      </c>
      <c r="AD39" s="57" t="str">
        <f>Y39</f>
        <v/>
      </c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97"/>
      <c r="BE39" s="38" t="s">
        <v>2794</v>
      </c>
      <c r="BF39" s="65" t="str">
        <f>AS112</f>
        <v>ωωχ ε</v>
      </c>
      <c r="BN39" s="97"/>
      <c r="BO39" s="166"/>
      <c r="BP39" s="175"/>
      <c r="BQ39" s="175"/>
      <c r="BR39" s="6"/>
      <c r="BS39" s="175" t="s">
        <v>3170</v>
      </c>
      <c r="BT39" s="175"/>
      <c r="BU39" s="175"/>
      <c r="BV39" s="175"/>
      <c r="BW39" s="175"/>
      <c r="BX39" s="175"/>
      <c r="BY39" s="175"/>
      <c r="BZ39" s="175"/>
      <c r="CA39" s="175"/>
      <c r="CB39" s="175"/>
      <c r="CC39" s="175"/>
      <c r="CD39" s="175"/>
      <c r="CE39" s="175"/>
      <c r="CF39" s="175"/>
      <c r="CG39" s="175"/>
      <c r="CH39" s="175"/>
      <c r="CI39" s="175"/>
      <c r="CJ39" s="123"/>
      <c r="CK39" s="38"/>
      <c r="CL39" s="6"/>
      <c r="CM39" s="127"/>
      <c r="CN39" s="38"/>
      <c r="CO39" s="6"/>
      <c r="CP39" s="127"/>
      <c r="CQ39" s="6"/>
      <c r="CR39" s="138"/>
      <c r="CS39" s="38" t="s">
        <v>3067</v>
      </c>
      <c r="CT39" s="141">
        <f>CT38/25796*24</f>
        <v>0</v>
      </c>
      <c r="CW39" s="170"/>
      <c r="CY39" s="1" t="s">
        <v>2914</v>
      </c>
      <c r="CZ39" s="178">
        <f>IF(CZ38&lt;-12,0,CZ38)</f>
        <v>0</v>
      </c>
      <c r="DC39" s="182"/>
      <c r="DE39" s="6" t="s">
        <v>2978</v>
      </c>
      <c r="DF39" s="128"/>
      <c r="DG39" s="1" t="s">
        <v>3006</v>
      </c>
      <c r="DH39" s="1">
        <f>DF49-DH35</f>
        <v>0</v>
      </c>
      <c r="DI39" s="1" t="s">
        <v>2979</v>
      </c>
      <c r="DK39" s="182"/>
      <c r="DM39" s="2"/>
      <c r="DN39" s="37" t="s">
        <v>3211</v>
      </c>
      <c r="DO39" s="37" t="s">
        <v>3211</v>
      </c>
      <c r="DP39" s="37" t="s">
        <v>286</v>
      </c>
      <c r="DQ39" s="37" t="s">
        <v>3317</v>
      </c>
      <c r="DR39" s="37" t="s">
        <v>287</v>
      </c>
      <c r="DS39" s="22"/>
      <c r="DT39" s="6"/>
      <c r="DZ39" s="48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T39" s="97"/>
      <c r="EU39" s="38" t="s">
        <v>2794</v>
      </c>
      <c r="EV39" s="65">
        <f>EL97</f>
        <v>0</v>
      </c>
      <c r="EW39" s="65">
        <f>EM97</f>
        <v>0</v>
      </c>
      <c r="FH39" s="97"/>
      <c r="FK39" s="135"/>
      <c r="FY39" s="2"/>
      <c r="FZ39" s="37" t="s">
        <v>3314</v>
      </c>
      <c r="GA39" s="37" t="s">
        <v>3314</v>
      </c>
      <c r="GB39" s="37" t="s">
        <v>2467</v>
      </c>
      <c r="GC39" s="37" t="s">
        <v>3745</v>
      </c>
      <c r="GD39" s="37" t="s">
        <v>2473</v>
      </c>
      <c r="GF39" s="22"/>
      <c r="GL39" s="48"/>
      <c r="GV39" s="128"/>
      <c r="GW39" s="4"/>
      <c r="GX39" s="37" t="s">
        <v>958</v>
      </c>
      <c r="GY39" s="37" t="s">
        <v>958</v>
      </c>
      <c r="GZ39" s="37" t="s">
        <v>960</v>
      </c>
      <c r="HA39" s="37" t="s">
        <v>3748</v>
      </c>
      <c r="HB39" s="37" t="s">
        <v>3382</v>
      </c>
      <c r="HC39" s="37"/>
      <c r="HJ39" s="48"/>
      <c r="HK39" s="170"/>
      <c r="HM39" s="1" t="s">
        <v>3749</v>
      </c>
      <c r="HT39" s="128"/>
      <c r="HU39" s="534">
        <v>23</v>
      </c>
      <c r="HV39" s="534" t="s">
        <v>3750</v>
      </c>
      <c r="IB39" s="170"/>
      <c r="IC39" s="405"/>
      <c r="ID39" s="527" t="s">
        <v>975</v>
      </c>
      <c r="IE39" s="528" t="s">
        <v>975</v>
      </c>
      <c r="IF39" s="37" t="s">
        <v>3751</v>
      </c>
      <c r="IG39" s="37"/>
      <c r="IH39" s="37"/>
      <c r="II39" s="1"/>
      <c r="IJ39" s="606" t="s">
        <v>2984</v>
      </c>
      <c r="IK39" s="607">
        <f>FR52</f>
        <v>0</v>
      </c>
      <c r="IM39" s="405"/>
      <c r="IN39" s="178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78"/>
      <c r="JD39" s="135"/>
    </row>
    <row r="40" spans="9:264">
      <c r="I40" s="22"/>
      <c r="J40" s="156" t="s">
        <v>122</v>
      </c>
      <c r="K40" s="156" t="s">
        <v>122</v>
      </c>
      <c r="L40" s="22">
        <v>11</v>
      </c>
      <c r="M40" s="22">
        <v>1</v>
      </c>
      <c r="N40" s="22">
        <v>50.5</v>
      </c>
      <c r="O40" s="22">
        <v>56</v>
      </c>
      <c r="P40" s="22">
        <v>22</v>
      </c>
      <c r="Q40" s="22">
        <v>57</v>
      </c>
      <c r="R40" s="22" t="s">
        <v>123</v>
      </c>
      <c r="S40" s="22" t="s">
        <v>124</v>
      </c>
      <c r="V40" s="4"/>
      <c r="X40" s="128" t="s">
        <v>2841</v>
      </c>
      <c r="Y40" s="192" t="str">
        <f>LOOKUP(Y36,(J5:J917),(N5:N917))</f>
        <v/>
      </c>
      <c r="AB40" s="5"/>
      <c r="AC40" s="6" t="s">
        <v>2858</v>
      </c>
      <c r="AD40" s="57" t="str">
        <f>Y40</f>
        <v/>
      </c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97"/>
      <c r="BE40" s="38" t="s">
        <v>2823</v>
      </c>
      <c r="BF40" s="65" t="str">
        <f>AS113</f>
        <v>ωωχ ε</v>
      </c>
      <c r="BN40" s="97"/>
      <c r="BO40" s="166"/>
      <c r="BP40" s="175"/>
      <c r="BQ40" s="175"/>
      <c r="BR40" s="6"/>
      <c r="BS40" s="267" t="s">
        <v>3175</v>
      </c>
      <c r="BT40" s="175"/>
      <c r="BU40" s="175"/>
      <c r="BV40" s="175"/>
      <c r="BW40" s="175"/>
      <c r="BX40" s="175"/>
      <c r="BY40" s="175"/>
      <c r="BZ40" s="175"/>
      <c r="CA40" s="175"/>
      <c r="CB40" s="175"/>
      <c r="CC40" s="175"/>
      <c r="CD40" s="175"/>
      <c r="CE40" s="175"/>
      <c r="CF40" s="175"/>
      <c r="CG40" s="175"/>
      <c r="CH40" s="175"/>
      <c r="CI40" s="175"/>
      <c r="CJ40" s="123"/>
      <c r="CK40" s="133" t="s">
        <v>3027</v>
      </c>
      <c r="CL40" s="128"/>
      <c r="CM40" s="127"/>
      <c r="CN40" s="133" t="s">
        <v>3027</v>
      </c>
      <c r="CO40" s="128"/>
      <c r="CP40" s="127"/>
      <c r="CQ40" s="6"/>
      <c r="CR40" s="138"/>
      <c r="CS40" s="38" t="s">
        <v>3068</v>
      </c>
      <c r="CT40" s="224">
        <f>CT34+CT39</f>
        <v>0</v>
      </c>
      <c r="CW40" s="170"/>
      <c r="DC40" s="182"/>
      <c r="DE40" s="168" t="s">
        <v>2980</v>
      </c>
      <c r="DF40" s="65">
        <f>DD78</f>
        <v>0</v>
      </c>
      <c r="DG40" s="1" t="s">
        <v>2986</v>
      </c>
      <c r="DH40" s="1">
        <f>IF(DF44=1,DH39,0)</f>
        <v>0</v>
      </c>
      <c r="DI40" s="1" t="s">
        <v>2982</v>
      </c>
      <c r="DK40" s="182"/>
      <c r="DM40" s="2"/>
      <c r="DN40" s="37" t="s">
        <v>286</v>
      </c>
      <c r="DO40" s="37" t="s">
        <v>286</v>
      </c>
      <c r="DP40" s="37" t="s">
        <v>286</v>
      </c>
      <c r="DQ40" s="37" t="s">
        <v>3317</v>
      </c>
      <c r="DR40" s="37" t="s">
        <v>287</v>
      </c>
      <c r="DS40" s="22"/>
      <c r="DT40" s="6"/>
      <c r="DZ40" s="48"/>
      <c r="ED40" s="50"/>
      <c r="EE40" s="50"/>
      <c r="EF40" s="50"/>
      <c r="EG40" s="50"/>
      <c r="EH40" s="327"/>
      <c r="EI40" s="327"/>
      <c r="EJ40" s="327"/>
      <c r="EK40" s="327"/>
      <c r="EL40" s="327"/>
      <c r="EM40" s="327"/>
      <c r="EN40" s="327"/>
      <c r="EO40" s="327"/>
      <c r="EP40" s="50"/>
      <c r="EQ40" s="50"/>
      <c r="ER40" s="50"/>
      <c r="ET40" s="97"/>
      <c r="EU40" s="38" t="s">
        <v>2823</v>
      </c>
      <c r="EV40" s="65">
        <f>EL98</f>
        <v>0</v>
      </c>
      <c r="EW40" s="65">
        <f>EM98</f>
        <v>0</v>
      </c>
      <c r="FH40" s="97"/>
      <c r="FK40" s="135"/>
      <c r="FO40" s="1" t="s">
        <v>3753</v>
      </c>
      <c r="FY40" s="2"/>
      <c r="FZ40" s="37" t="s">
        <v>3315</v>
      </c>
      <c r="GA40" s="37" t="s">
        <v>3315</v>
      </c>
      <c r="GB40" s="37" t="s">
        <v>2467</v>
      </c>
      <c r="GC40" s="37" t="s">
        <v>3745</v>
      </c>
      <c r="GD40" s="37" t="s">
        <v>2473</v>
      </c>
      <c r="GF40" s="22"/>
      <c r="GL40" s="48"/>
      <c r="GV40" s="128"/>
      <c r="GW40" s="4"/>
      <c r="GX40" s="37" t="s">
        <v>3754</v>
      </c>
      <c r="GY40" s="37" t="s">
        <v>3754</v>
      </c>
      <c r="GZ40" s="37" t="s">
        <v>960</v>
      </c>
      <c r="HA40" s="37" t="s">
        <v>3754</v>
      </c>
      <c r="HB40" s="37" t="s">
        <v>954</v>
      </c>
      <c r="HC40" s="37"/>
      <c r="HJ40" s="48"/>
      <c r="HK40" s="170"/>
      <c r="HM40" s="1" t="s">
        <v>3660</v>
      </c>
      <c r="HN40" s="1">
        <f>IF(HN19=HM40,4,0)</f>
        <v>0</v>
      </c>
      <c r="HT40" s="128"/>
      <c r="HU40" s="534">
        <v>24</v>
      </c>
      <c r="HV40" s="534" t="s">
        <v>3755</v>
      </c>
      <c r="IB40" s="170"/>
      <c r="IC40" s="405"/>
      <c r="ID40" s="527" t="s">
        <v>1019</v>
      </c>
      <c r="IE40" s="528" t="s">
        <v>1019</v>
      </c>
      <c r="IF40" s="37" t="s">
        <v>3756</v>
      </c>
      <c r="IG40" s="37"/>
      <c r="IH40" s="37"/>
      <c r="II40" s="1"/>
      <c r="IM40" s="405"/>
      <c r="IN40" s="178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78"/>
      <c r="JD40" s="135"/>
    </row>
    <row r="41" spans="9:264">
      <c r="I41" s="22"/>
      <c r="J41" s="156" t="s">
        <v>125</v>
      </c>
      <c r="K41" s="156" t="s">
        <v>125</v>
      </c>
      <c r="L41" s="22">
        <v>11</v>
      </c>
      <c r="M41" s="22">
        <v>53</v>
      </c>
      <c r="N41" s="22">
        <v>49.8</v>
      </c>
      <c r="O41" s="22">
        <v>53</v>
      </c>
      <c r="P41" s="22">
        <v>41</v>
      </c>
      <c r="Q41" s="22">
        <v>41</v>
      </c>
      <c r="R41" s="22" t="s">
        <v>126</v>
      </c>
      <c r="S41" s="22" t="s">
        <v>127</v>
      </c>
      <c r="V41" s="4"/>
      <c r="X41" s="168" t="s">
        <v>2874</v>
      </c>
      <c r="AB41" s="5"/>
      <c r="AC41" s="145" t="s">
        <v>2798</v>
      </c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97"/>
      <c r="BE41" s="38" t="s">
        <v>3239</v>
      </c>
      <c r="BF41" s="65">
        <f>AP116</f>
        <v>0</v>
      </c>
      <c r="BN41" s="97"/>
      <c r="BO41" s="166"/>
      <c r="BP41" s="175"/>
      <c r="BQ41" s="175"/>
      <c r="BR41" s="6"/>
      <c r="BS41" s="175" t="s">
        <v>3171</v>
      </c>
      <c r="BT41" s="175"/>
      <c r="BU41" s="175"/>
      <c r="BV41" s="175"/>
      <c r="BW41" s="175"/>
      <c r="BX41" s="175"/>
      <c r="BY41" s="175"/>
      <c r="BZ41" s="175"/>
      <c r="CA41" s="175"/>
      <c r="CB41" s="175"/>
      <c r="CC41" s="175"/>
      <c r="CD41" s="175"/>
      <c r="CE41" s="175"/>
      <c r="CF41" s="175"/>
      <c r="CG41" s="175"/>
      <c r="CH41" s="175"/>
      <c r="CI41" s="175"/>
      <c r="CJ41" s="123"/>
      <c r="CK41" s="38" t="s">
        <v>3028</v>
      </c>
      <c r="CL41" s="128"/>
      <c r="CM41" s="127"/>
      <c r="CN41" s="38" t="s">
        <v>3028</v>
      </c>
      <c r="CO41" s="128"/>
      <c r="CP41" s="127"/>
      <c r="CQ41" s="6"/>
      <c r="CR41" s="138"/>
      <c r="CS41" s="38" t="s">
        <v>3069</v>
      </c>
      <c r="CT41" s="142">
        <f>IF(CT40&gt;24,CT40,0)</f>
        <v>0</v>
      </c>
      <c r="CW41" s="170"/>
      <c r="CY41" s="1" t="s">
        <v>2915</v>
      </c>
      <c r="CZ41" s="138">
        <f>CZ36+CZ39</f>
        <v>0</v>
      </c>
      <c r="DC41" s="182"/>
      <c r="DE41" s="128" t="s">
        <v>2983</v>
      </c>
      <c r="DF41" s="128" t="b">
        <f>ISNUMBER(DF40)</f>
        <v>1</v>
      </c>
      <c r="DG41" s="1" t="s">
        <v>2988</v>
      </c>
      <c r="DH41" s="1">
        <f>-1*DH40</f>
        <v>0</v>
      </c>
      <c r="DK41" s="182"/>
      <c r="DM41" s="2"/>
      <c r="DN41" s="37" t="s">
        <v>3318</v>
      </c>
      <c r="DO41" s="37" t="s">
        <v>3318</v>
      </c>
      <c r="DP41" s="37" t="s">
        <v>330</v>
      </c>
      <c r="DQ41" s="37" t="s">
        <v>3319</v>
      </c>
      <c r="DR41" s="37" t="s">
        <v>331</v>
      </c>
      <c r="DS41" s="22"/>
      <c r="DT41" s="6"/>
      <c r="DZ41" s="48"/>
      <c r="ED41" s="50"/>
      <c r="EE41" s="50"/>
      <c r="EF41" s="50"/>
      <c r="EG41" s="438"/>
      <c r="EH41" s="57" t="str">
        <f>AP58</f>
        <v/>
      </c>
      <c r="EI41" s="364"/>
      <c r="EJ41" s="615" t="s">
        <v>3591</v>
      </c>
      <c r="EK41" s="426"/>
      <c r="EL41" s="426"/>
      <c r="EM41" s="279"/>
      <c r="EN41" s="366" t="str">
        <f>AS58</f>
        <v/>
      </c>
      <c r="EO41" s="57"/>
      <c r="EP41" s="337"/>
      <c r="EQ41" s="50"/>
      <c r="ER41" s="50"/>
      <c r="ET41" s="97"/>
      <c r="EU41" s="38" t="s">
        <v>3239</v>
      </c>
      <c r="EV41" s="65">
        <f>EI101</f>
        <v>0</v>
      </c>
      <c r="FH41" s="97"/>
      <c r="FK41" s="135"/>
      <c r="FO41" s="1" t="s">
        <v>3757</v>
      </c>
      <c r="FY41" s="2"/>
      <c r="FZ41" s="37" t="s">
        <v>2467</v>
      </c>
      <c r="GA41" s="37" t="s">
        <v>2467</v>
      </c>
      <c r="GB41" s="37" t="s">
        <v>2467</v>
      </c>
      <c r="GC41" s="37" t="s">
        <v>3745</v>
      </c>
      <c r="GD41" s="37" t="s">
        <v>2473</v>
      </c>
      <c r="GF41" s="22"/>
      <c r="GL41" s="48"/>
      <c r="GV41" s="128"/>
      <c r="GW41" s="4"/>
      <c r="GX41" s="37" t="s">
        <v>3758</v>
      </c>
      <c r="GY41" s="37" t="s">
        <v>3758</v>
      </c>
      <c r="GZ41" s="37" t="s">
        <v>2510</v>
      </c>
      <c r="HA41" s="37" t="s">
        <v>3758</v>
      </c>
      <c r="HB41" s="37" t="s">
        <v>3227</v>
      </c>
      <c r="HC41" s="37"/>
      <c r="HJ41" s="48"/>
      <c r="HK41" s="170"/>
      <c r="HM41" s="1" t="s">
        <v>3759</v>
      </c>
      <c r="HN41" s="1">
        <f>IF(HN19=HM41,4,0)</f>
        <v>0</v>
      </c>
      <c r="HT41" s="128"/>
      <c r="HU41" s="534">
        <v>25</v>
      </c>
      <c r="HV41" s="534" t="s">
        <v>3705</v>
      </c>
      <c r="IB41" s="170"/>
      <c r="IC41" s="405"/>
      <c r="ID41" s="527" t="s">
        <v>1030</v>
      </c>
      <c r="IE41" s="528" t="s">
        <v>1030</v>
      </c>
      <c r="IF41" s="37" t="s">
        <v>3760</v>
      </c>
      <c r="IG41" s="37"/>
      <c r="IH41" s="37"/>
      <c r="II41" s="1"/>
      <c r="IJ41" s="6"/>
      <c r="IM41" s="405"/>
      <c r="IN41" s="178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78"/>
      <c r="JD41" s="135"/>
    </row>
    <row r="42" spans="9:264">
      <c r="I42" s="22"/>
      <c r="J42" s="156" t="s">
        <v>128</v>
      </c>
      <c r="K42" s="156" t="s">
        <v>128</v>
      </c>
      <c r="L42" s="22">
        <v>12</v>
      </c>
      <c r="M42" s="22">
        <v>15</v>
      </c>
      <c r="N42" s="22">
        <v>25.6</v>
      </c>
      <c r="O42" s="22">
        <v>57</v>
      </c>
      <c r="P42" s="22">
        <v>1</v>
      </c>
      <c r="Q42" s="22">
        <v>57</v>
      </c>
      <c r="R42" s="22" t="s">
        <v>129</v>
      </c>
      <c r="S42" s="22" t="s">
        <v>130</v>
      </c>
      <c r="V42" s="4"/>
      <c r="X42" s="128" t="s">
        <v>2843</v>
      </c>
      <c r="Y42" s="192" t="str">
        <f>LOOKUP(Y36,(J5:J917),(O5:O917))</f>
        <v/>
      </c>
      <c r="AB42" s="5"/>
      <c r="AD42" s="57" t="str">
        <f>Y42</f>
        <v/>
      </c>
      <c r="AI42" s="5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97"/>
      <c r="BE42" s="95" t="s">
        <v>2866</v>
      </c>
      <c r="BF42" s="65">
        <f>AS100</f>
        <v>2000</v>
      </c>
      <c r="BN42" s="97"/>
      <c r="BO42" s="166"/>
      <c r="BP42" s="175"/>
      <c r="BQ42" s="175"/>
      <c r="BR42" s="6"/>
      <c r="BS42" s="175" t="s">
        <v>3172</v>
      </c>
      <c r="BT42" s="175"/>
      <c r="BU42" s="175"/>
      <c r="BV42" s="175"/>
      <c r="BW42" s="175"/>
      <c r="BX42" s="175"/>
      <c r="BY42" s="175"/>
      <c r="BZ42" s="175"/>
      <c r="CA42" s="175"/>
      <c r="CB42" s="175"/>
      <c r="CC42" s="175"/>
      <c r="CD42" s="175"/>
      <c r="CE42" s="175"/>
      <c r="CF42" s="175"/>
      <c r="CG42" s="175"/>
      <c r="CH42" s="175"/>
      <c r="CI42" s="175"/>
      <c r="CJ42" s="123"/>
      <c r="CK42" s="38" t="s">
        <v>3029</v>
      </c>
      <c r="CL42" s="128">
        <f>IF(CL25&lt;0,0,1)</f>
        <v>1</v>
      </c>
      <c r="CM42" s="127"/>
      <c r="CN42" s="38" t="s">
        <v>3029</v>
      </c>
      <c r="CO42" s="128">
        <f>IF(CO25&lt;0,0,1)</f>
        <v>1</v>
      </c>
      <c r="CP42" s="127"/>
      <c r="CQ42" s="6"/>
      <c r="CR42" s="138"/>
      <c r="CS42" s="38" t="s">
        <v>3070</v>
      </c>
      <c r="CT42" s="127">
        <f>CT41-24</f>
        <v>-24</v>
      </c>
      <c r="CW42" s="170"/>
      <c r="CY42" s="1" t="s">
        <v>2916</v>
      </c>
      <c r="CZ42" s="106">
        <f>CZ41+CZ33</f>
        <v>0</v>
      </c>
      <c r="DC42" s="182"/>
      <c r="DE42" s="128" t="s">
        <v>2985</v>
      </c>
      <c r="DF42" s="128">
        <f>DF41*1</f>
        <v>1</v>
      </c>
      <c r="DG42" s="1" t="s">
        <v>2990</v>
      </c>
      <c r="DH42" s="406">
        <f>IF(DF44=1,DH41,DH39)</f>
        <v>0</v>
      </c>
      <c r="DK42" s="182"/>
      <c r="DM42" s="2"/>
      <c r="DN42" s="37" t="s">
        <v>330</v>
      </c>
      <c r="DO42" s="37" t="s">
        <v>330</v>
      </c>
      <c r="DP42" s="37" t="s">
        <v>330</v>
      </c>
      <c r="DQ42" s="37" t="s">
        <v>3319</v>
      </c>
      <c r="DR42" s="37" t="s">
        <v>331</v>
      </c>
      <c r="DS42" s="22"/>
      <c r="DT42" s="6"/>
      <c r="DZ42" s="48"/>
      <c r="ED42" s="50"/>
      <c r="EE42" s="50"/>
      <c r="EF42" s="50"/>
      <c r="EG42" s="438"/>
      <c r="EH42" s="297" t="str">
        <f>AP59</f>
        <v/>
      </c>
      <c r="EI42" s="277"/>
      <c r="EJ42" s="366" t="s">
        <v>3592</v>
      </c>
      <c r="EK42" s="57"/>
      <c r="EL42" s="57"/>
      <c r="EM42" s="364"/>
      <c r="EN42" s="194" t="str">
        <f>AS59</f>
        <v/>
      </c>
      <c r="EO42" s="297"/>
      <c r="EP42" s="337"/>
      <c r="EQ42" s="50"/>
      <c r="ER42" s="50"/>
      <c r="ET42" s="97"/>
      <c r="EU42" s="95" t="s">
        <v>2866</v>
      </c>
      <c r="EV42" s="65">
        <f>EN85</f>
        <v>2000</v>
      </c>
      <c r="FH42" s="97"/>
      <c r="FK42" s="135"/>
      <c r="FY42" s="2"/>
      <c r="FZ42" s="37" t="s">
        <v>3316</v>
      </c>
      <c r="GA42" s="37" t="s">
        <v>3316</v>
      </c>
      <c r="GB42" s="37" t="s">
        <v>286</v>
      </c>
      <c r="GC42" s="37" t="s">
        <v>3762</v>
      </c>
      <c r="GD42" s="37" t="s">
        <v>289</v>
      </c>
      <c r="GF42" s="22"/>
      <c r="GI42" s="200"/>
      <c r="GL42" s="48"/>
      <c r="GV42" s="128"/>
      <c r="GW42" s="4"/>
      <c r="GX42" s="37" t="s">
        <v>2475</v>
      </c>
      <c r="GY42" s="37" t="s">
        <v>2475</v>
      </c>
      <c r="GZ42" s="37" t="s">
        <v>2473</v>
      </c>
      <c r="HA42" s="37" t="s">
        <v>2475</v>
      </c>
      <c r="HB42" s="37" t="s">
        <v>2467</v>
      </c>
      <c r="HC42" s="37"/>
      <c r="HJ42" s="48"/>
      <c r="HK42" s="170"/>
      <c r="HM42" s="1" t="s">
        <v>3763</v>
      </c>
      <c r="HN42" s="1">
        <f>IF(HN19=HM42,4,0)</f>
        <v>0</v>
      </c>
      <c r="HU42" s="534">
        <v>26</v>
      </c>
      <c r="HV42" s="534" t="s">
        <v>3764</v>
      </c>
      <c r="IB42" s="170"/>
      <c r="IC42" s="405"/>
      <c r="ID42" s="527" t="s">
        <v>358</v>
      </c>
      <c r="IE42" s="528" t="s">
        <v>358</v>
      </c>
      <c r="IF42" s="37" t="s">
        <v>3765</v>
      </c>
      <c r="IG42" s="37"/>
      <c r="IH42" s="37"/>
      <c r="II42" s="1"/>
      <c r="IM42" s="405"/>
      <c r="IN42" s="178"/>
      <c r="IO42" s="1"/>
      <c r="IP42" s="108" t="s">
        <v>3734</v>
      </c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78"/>
      <c r="JD42" s="135"/>
    </row>
    <row r="43" spans="9:264">
      <c r="I43" s="22"/>
      <c r="J43" s="156" t="s">
        <v>131</v>
      </c>
      <c r="K43" s="156" t="s">
        <v>131</v>
      </c>
      <c r="L43" s="22">
        <v>12</v>
      </c>
      <c r="M43" s="22">
        <v>54</v>
      </c>
      <c r="N43" s="22">
        <v>1.7</v>
      </c>
      <c r="O43" s="22">
        <v>55</v>
      </c>
      <c r="P43" s="22">
        <v>57</v>
      </c>
      <c r="Q43" s="22">
        <v>35</v>
      </c>
      <c r="R43" s="22" t="s">
        <v>132</v>
      </c>
      <c r="S43" s="22" t="s">
        <v>133</v>
      </c>
      <c r="V43" s="4"/>
      <c r="X43" s="128" t="s">
        <v>2840</v>
      </c>
      <c r="Y43" s="192" t="str">
        <f>LOOKUP(Y36,(J5:J917),(P5:P917))</f>
        <v/>
      </c>
      <c r="AB43" s="5"/>
      <c r="AD43" s="57" t="str">
        <f>Y43</f>
        <v/>
      </c>
      <c r="AI43" s="5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97"/>
      <c r="BN43" s="97"/>
      <c r="BO43" s="166"/>
      <c r="BP43" s="175"/>
      <c r="BQ43" s="175"/>
      <c r="BR43" s="6"/>
      <c r="BS43" s="175"/>
      <c r="BT43" s="175"/>
      <c r="BV43" s="175"/>
      <c r="BW43" s="175"/>
      <c r="BX43" s="175"/>
      <c r="BY43" s="175"/>
      <c r="BZ43" s="175"/>
      <c r="CA43" s="175"/>
      <c r="CB43" s="175"/>
      <c r="CC43" s="175"/>
      <c r="CD43" s="175"/>
      <c r="CE43" s="175"/>
      <c r="CF43" s="175"/>
      <c r="CG43" s="175"/>
      <c r="CH43" s="175"/>
      <c r="CI43" s="175"/>
      <c r="CJ43" s="123"/>
      <c r="CK43" s="38" t="s">
        <v>3030</v>
      </c>
      <c r="CL43" s="128">
        <f>IF(CL30&lt;0,0,1)</f>
        <v>1</v>
      </c>
      <c r="CM43" s="127"/>
      <c r="CN43" s="38" t="s">
        <v>3030</v>
      </c>
      <c r="CO43" s="128">
        <f>IF(CO30&lt;0,0,1)</f>
        <v>1</v>
      </c>
      <c r="CP43" s="127"/>
      <c r="CQ43" s="6"/>
      <c r="CR43" s="138"/>
      <c r="CS43" s="38" t="s">
        <v>3071</v>
      </c>
      <c r="CT43" s="127">
        <f>IF(CT42=0,0,CT42)</f>
        <v>-24</v>
      </c>
      <c r="CW43" s="170"/>
      <c r="CY43" s="179" t="s">
        <v>2917</v>
      </c>
      <c r="DC43" s="182"/>
      <c r="DE43" s="128" t="s">
        <v>2987</v>
      </c>
      <c r="DF43" s="6">
        <f>IF(DF42=1,DF40,0)</f>
        <v>0</v>
      </c>
      <c r="DG43" s="1" t="s">
        <v>2069</v>
      </c>
      <c r="DH43" s="175"/>
      <c r="DK43" s="182"/>
      <c r="DM43" s="2"/>
      <c r="DN43" s="37" t="s">
        <v>3320</v>
      </c>
      <c r="DO43" s="37" t="s">
        <v>3320</v>
      </c>
      <c r="DP43" s="37" t="s">
        <v>334</v>
      </c>
      <c r="DQ43" s="37" t="s">
        <v>3321</v>
      </c>
      <c r="DR43" s="37" t="s">
        <v>335</v>
      </c>
      <c r="DS43" s="22"/>
      <c r="DT43" s="6"/>
      <c r="DZ43" s="48"/>
      <c r="ED43" s="50"/>
      <c r="EE43" s="50"/>
      <c r="EF43" s="50"/>
      <c r="EG43" s="438"/>
      <c r="EH43" s="612"/>
      <c r="EI43" s="426"/>
      <c r="EJ43" s="426"/>
      <c r="EK43" s="426" t="s">
        <v>4074</v>
      </c>
      <c r="EL43" s="426"/>
      <c r="EM43" s="613"/>
      <c r="EN43" s="598">
        <v>2000</v>
      </c>
      <c r="EO43" s="614"/>
      <c r="EP43" s="337"/>
      <c r="EQ43" s="50"/>
      <c r="ER43" s="50"/>
      <c r="ET43" s="97"/>
      <c r="FH43" s="97"/>
      <c r="FK43" s="135"/>
      <c r="FY43" s="2"/>
      <c r="FZ43" s="37" t="s">
        <v>3211</v>
      </c>
      <c r="GA43" s="37" t="s">
        <v>3211</v>
      </c>
      <c r="GB43" s="37" t="s">
        <v>286</v>
      </c>
      <c r="GC43" s="37" t="s">
        <v>3762</v>
      </c>
      <c r="GD43" s="37" t="s">
        <v>289</v>
      </c>
      <c r="GF43" s="22"/>
      <c r="GL43" s="48"/>
      <c r="GV43" s="128"/>
      <c r="GW43" s="4"/>
      <c r="GX43" s="37" t="s">
        <v>974</v>
      </c>
      <c r="GY43" s="37" t="s">
        <v>974</v>
      </c>
      <c r="GZ43" s="37" t="s">
        <v>975</v>
      </c>
      <c r="HA43" s="37" t="s">
        <v>974</v>
      </c>
      <c r="HB43" s="37" t="s">
        <v>3221</v>
      </c>
      <c r="HC43" s="37"/>
      <c r="HJ43" s="48"/>
      <c r="HK43" s="170"/>
      <c r="HM43" s="1" t="s">
        <v>3688</v>
      </c>
      <c r="HN43" s="170">
        <f>HN40+HN41+HN42</f>
        <v>0</v>
      </c>
      <c r="HU43" s="534">
        <v>27</v>
      </c>
      <c r="HV43" s="534" t="s">
        <v>3767</v>
      </c>
      <c r="IB43" s="170"/>
      <c r="IC43" s="405"/>
      <c r="ID43" s="527" t="s">
        <v>410</v>
      </c>
      <c r="IE43" s="528" t="s">
        <v>410</v>
      </c>
      <c r="IF43" s="37" t="s">
        <v>3768</v>
      </c>
      <c r="IG43" s="37"/>
      <c r="IH43" s="37"/>
      <c r="II43" s="1"/>
      <c r="IJ43" s="1"/>
      <c r="IK43" s="1"/>
      <c r="IL43" s="1"/>
      <c r="IM43" s="405"/>
      <c r="IN43" s="178"/>
      <c r="IO43" s="1"/>
      <c r="IP43" s="1" t="s">
        <v>3741</v>
      </c>
      <c r="IQ43" s="1" t="b">
        <f>ISNUMBER(IQ27)</f>
        <v>1</v>
      </c>
      <c r="IR43" s="235" t="b">
        <v>0</v>
      </c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78"/>
      <c r="JD43" s="135"/>
    </row>
    <row r="44" spans="9:264">
      <c r="I44" s="22"/>
      <c r="J44" s="156" t="s">
        <v>134</v>
      </c>
      <c r="K44" s="156" t="s">
        <v>134</v>
      </c>
      <c r="L44" s="22">
        <v>13</v>
      </c>
      <c r="M44" s="22">
        <v>23</v>
      </c>
      <c r="N44" s="22">
        <v>55.5</v>
      </c>
      <c r="O44" s="22">
        <v>54</v>
      </c>
      <c r="P44" s="22">
        <v>55</v>
      </c>
      <c r="Q44" s="22">
        <v>31</v>
      </c>
      <c r="R44" s="22" t="s">
        <v>135</v>
      </c>
      <c r="S44" s="22" t="s">
        <v>136</v>
      </c>
      <c r="V44" s="4"/>
      <c r="X44" s="128" t="s">
        <v>2841</v>
      </c>
      <c r="Y44" s="192" t="str">
        <f>LOOKUP(Y36,(J5:J917),(Q5:Q917))</f>
        <v/>
      </c>
      <c r="AB44" s="5"/>
      <c r="AD44" s="57" t="str">
        <f>Y44</f>
        <v/>
      </c>
      <c r="AI44" s="5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97"/>
      <c r="BE44" s="206" t="s">
        <v>2826</v>
      </c>
      <c r="BF44" s="126"/>
      <c r="BN44" s="97"/>
      <c r="BO44" s="166"/>
      <c r="BP44" s="175"/>
      <c r="BQ44" s="277"/>
      <c r="BR44" s="193"/>
      <c r="BS44" s="193"/>
      <c r="BT44" s="193"/>
      <c r="BU44" s="292" t="s">
        <v>3166</v>
      </c>
      <c r="BV44" s="193"/>
      <c r="BW44" s="193"/>
      <c r="BX44" s="193"/>
      <c r="BY44" s="193"/>
      <c r="BZ44" s="193"/>
      <c r="CA44" s="193"/>
      <c r="CB44" s="193"/>
      <c r="CC44" s="193"/>
      <c r="CD44" s="194"/>
      <c r="CE44" s="175"/>
      <c r="CF44" s="175"/>
      <c r="CG44" s="175"/>
      <c r="CH44" s="175"/>
      <c r="CI44" s="175"/>
      <c r="CJ44" s="123"/>
      <c r="CK44" s="38" t="s">
        <v>3031</v>
      </c>
      <c r="CL44" s="128">
        <f>IF(CL35&lt;0,0,1)</f>
        <v>1</v>
      </c>
      <c r="CM44" s="127"/>
      <c r="CN44" s="38" t="s">
        <v>3031</v>
      </c>
      <c r="CO44" s="128">
        <f>IF(CO35&lt;0,0,1)</f>
        <v>1</v>
      </c>
      <c r="CP44" s="127"/>
      <c r="CQ44" s="6"/>
      <c r="CR44" s="138"/>
      <c r="CS44" s="38" t="s">
        <v>3072</v>
      </c>
      <c r="CT44" s="143">
        <f>IF(CT43&gt;0,CT43,CT40)</f>
        <v>0</v>
      </c>
      <c r="CW44" s="170"/>
      <c r="CY44" s="1" t="s">
        <v>2918</v>
      </c>
      <c r="CZ44" s="175" t="str">
        <f xml:space="preserve"> IF(CZ41&lt;0,"ΑΝΑΤΟΛΙΚΑ","ΔΥΤΙΚΑ")</f>
        <v>ΔΥΤΙΚΑ</v>
      </c>
      <c r="DC44" s="182"/>
      <c r="DE44" s="132" t="s">
        <v>2989</v>
      </c>
      <c r="DF44" s="132">
        <f>IF(DF43&lt;0,1,0)</f>
        <v>0</v>
      </c>
      <c r="DG44" s="108" t="s">
        <v>2993</v>
      </c>
      <c r="DK44" s="182"/>
      <c r="DM44" s="2"/>
      <c r="DN44" s="37" t="s">
        <v>334</v>
      </c>
      <c r="DO44" s="37" t="s">
        <v>334</v>
      </c>
      <c r="DP44" s="37" t="s">
        <v>334</v>
      </c>
      <c r="DQ44" s="37" t="s">
        <v>3321</v>
      </c>
      <c r="DR44" s="37" t="s">
        <v>335</v>
      </c>
      <c r="DS44" s="22"/>
      <c r="DT44" s="6"/>
      <c r="DZ44" s="48"/>
      <c r="ED44" s="50"/>
      <c r="EE44" s="50"/>
      <c r="EF44" s="50"/>
      <c r="EG44" s="438" t="s">
        <v>2069</v>
      </c>
      <c r="EH44" s="615" t="s">
        <v>4090</v>
      </c>
      <c r="EI44" s="426"/>
      <c r="EJ44" s="22"/>
      <c r="EK44" s="22"/>
      <c r="EL44" s="22"/>
      <c r="EM44" s="22"/>
      <c r="EN44" s="616" t="s">
        <v>4091</v>
      </c>
      <c r="EO44" s="23"/>
      <c r="EP44" s="337"/>
      <c r="EQ44" s="50"/>
      <c r="ER44" s="50"/>
      <c r="ET44" s="97"/>
      <c r="EU44" s="206" t="s">
        <v>2826</v>
      </c>
      <c r="EV44" s="126"/>
      <c r="FH44" s="97"/>
      <c r="FK44" s="135"/>
      <c r="FY44" s="2"/>
      <c r="FZ44" s="37" t="s">
        <v>286</v>
      </c>
      <c r="GA44" s="37" t="s">
        <v>286</v>
      </c>
      <c r="GB44" s="37" t="s">
        <v>286</v>
      </c>
      <c r="GC44" s="37" t="s">
        <v>3762</v>
      </c>
      <c r="GD44" s="37" t="s">
        <v>289</v>
      </c>
      <c r="GF44" s="22"/>
      <c r="GL44" s="48"/>
      <c r="GV44" s="128"/>
      <c r="GW44" s="4"/>
      <c r="GX44" s="37" t="s">
        <v>994</v>
      </c>
      <c r="GY44" s="37" t="s">
        <v>994</v>
      </c>
      <c r="GZ44" s="37" t="s">
        <v>995</v>
      </c>
      <c r="HA44" s="37" t="s">
        <v>994</v>
      </c>
      <c r="HB44" s="37" t="s">
        <v>992</v>
      </c>
      <c r="HC44" s="37"/>
      <c r="HJ44" s="48"/>
      <c r="HK44" s="170"/>
      <c r="HM44" s="191">
        <v>5</v>
      </c>
      <c r="HU44" s="534">
        <v>28</v>
      </c>
      <c r="HV44" s="534" t="s">
        <v>3755</v>
      </c>
      <c r="IB44" s="170"/>
      <c r="IC44" s="405"/>
      <c r="ID44" s="527" t="s">
        <v>658</v>
      </c>
      <c r="IE44" s="528" t="s">
        <v>658</v>
      </c>
      <c r="IF44" s="37" t="s">
        <v>3770</v>
      </c>
      <c r="IG44" s="37"/>
      <c r="IH44" s="37"/>
      <c r="II44" s="1"/>
      <c r="IJ44" s="1"/>
      <c r="IK44" s="1"/>
      <c r="IL44" s="1"/>
      <c r="IM44" s="405"/>
      <c r="IN44" s="178"/>
      <c r="IO44" s="1"/>
      <c r="IP44" s="1" t="s">
        <v>3744</v>
      </c>
      <c r="IQ44" s="1">
        <f>IF(IQ43=IR43,0,IQ27)</f>
        <v>0</v>
      </c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78"/>
      <c r="JD44" s="135"/>
    </row>
    <row r="45" spans="9:264">
      <c r="I45" s="22"/>
      <c r="J45" s="156" t="s">
        <v>137</v>
      </c>
      <c r="K45" s="156" t="s">
        <v>137</v>
      </c>
      <c r="L45" s="22">
        <v>13</v>
      </c>
      <c r="M45" s="22">
        <v>47</v>
      </c>
      <c r="N45" s="22">
        <v>32.4</v>
      </c>
      <c r="O45" s="22">
        <v>49</v>
      </c>
      <c r="P45" s="22">
        <v>18</v>
      </c>
      <c r="Q45" s="22">
        <v>48</v>
      </c>
      <c r="R45" s="22" t="s">
        <v>138</v>
      </c>
      <c r="S45" s="22" t="s">
        <v>139</v>
      </c>
      <c r="V45" s="4"/>
      <c r="X45" s="168" t="s">
        <v>2844</v>
      </c>
      <c r="AB45" s="5"/>
      <c r="AI45" s="5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97"/>
      <c r="BE45" s="38" t="s">
        <v>2794</v>
      </c>
      <c r="BF45" s="65" t="str">
        <f>BF109</f>
        <v>αμε α</v>
      </c>
      <c r="BN45" s="97"/>
      <c r="BO45" s="166"/>
      <c r="BQ45" s="38"/>
      <c r="BR45" s="140"/>
      <c r="BS45" s="125" t="s">
        <v>2872</v>
      </c>
      <c r="BT45" s="125"/>
      <c r="BU45" s="245" t="s">
        <v>2794</v>
      </c>
      <c r="BV45" s="125" t="s">
        <v>2798</v>
      </c>
      <c r="BW45" s="125"/>
      <c r="BX45" s="125"/>
      <c r="BY45" s="125" t="s">
        <v>2872</v>
      </c>
      <c r="BZ45" s="125"/>
      <c r="CA45" s="246" t="s">
        <v>2823</v>
      </c>
      <c r="CB45" s="125" t="s">
        <v>2798</v>
      </c>
      <c r="CC45" s="125"/>
      <c r="CD45" s="126"/>
      <c r="CJ45" s="123"/>
      <c r="CK45" s="130" t="s">
        <v>3032</v>
      </c>
      <c r="CL45" s="132">
        <f>CL42+CL43+CL44</f>
        <v>3</v>
      </c>
      <c r="CM45" s="208"/>
      <c r="CN45" s="130" t="s">
        <v>3032</v>
      </c>
      <c r="CO45" s="132">
        <f>CO42+CO43+CO44</f>
        <v>3</v>
      </c>
      <c r="CP45" s="127"/>
      <c r="CQ45" s="6"/>
      <c r="CR45" s="138"/>
      <c r="CS45" s="38"/>
      <c r="CT45" s="127"/>
      <c r="CW45" s="170"/>
      <c r="CY45" s="108" t="s">
        <v>2919</v>
      </c>
      <c r="CZ45" s="175"/>
      <c r="DC45" s="182"/>
      <c r="DE45" s="128" t="s">
        <v>2992</v>
      </c>
      <c r="DF45" s="128">
        <f>IF(DF44=1,DF43,0)</f>
        <v>0</v>
      </c>
      <c r="DG45" s="1" t="s">
        <v>2994</v>
      </c>
      <c r="DH45" s="1">
        <f>IF(DF44=1,DH35,0)</f>
        <v>0</v>
      </c>
      <c r="DK45" s="182"/>
      <c r="DM45" s="2"/>
      <c r="DN45" s="37" t="s">
        <v>3322</v>
      </c>
      <c r="DO45" s="37" t="s">
        <v>3322</v>
      </c>
      <c r="DP45" s="37" t="s">
        <v>339</v>
      </c>
      <c r="DQ45" s="37" t="s">
        <v>3323</v>
      </c>
      <c r="DR45" s="37" t="s">
        <v>340</v>
      </c>
      <c r="DS45" s="22"/>
      <c r="DT45" s="6"/>
      <c r="DZ45" s="48"/>
      <c r="ED45" s="50"/>
      <c r="EE45" s="50"/>
      <c r="EF45" s="50"/>
      <c r="EG45" s="438"/>
      <c r="EH45" s="6" t="s">
        <v>4069</v>
      </c>
      <c r="EI45" s="364"/>
      <c r="EJ45" s="6" t="str">
        <f>AQ62</f>
        <v/>
      </c>
      <c r="EK45" s="282" t="s">
        <v>4109</v>
      </c>
      <c r="EL45" s="426"/>
      <c r="EM45" s="593" t="str">
        <f>AS62</f>
        <v/>
      </c>
      <c r="EN45" s="494" t="s">
        <v>4075</v>
      </c>
      <c r="EO45" s="6" t="str">
        <f>AU62</f>
        <v/>
      </c>
      <c r="EP45" s="337"/>
      <c r="EQ45" s="50"/>
      <c r="ER45" s="50"/>
      <c r="ET45" s="97"/>
      <c r="EU45" s="38" t="s">
        <v>2794</v>
      </c>
      <c r="EV45" s="65" t="str">
        <f>EV112</f>
        <v>alfa</v>
      </c>
      <c r="EW45" s="65" t="str">
        <f>EW112</f>
        <v>lyr</v>
      </c>
      <c r="FH45" s="97"/>
      <c r="FK45" s="135"/>
      <c r="FO45" s="525" t="s">
        <v>2794</v>
      </c>
      <c r="FY45" s="2"/>
      <c r="FZ45" s="37" t="s">
        <v>3318</v>
      </c>
      <c r="GA45" s="37" t="s">
        <v>3318</v>
      </c>
      <c r="GB45" s="37" t="s">
        <v>330</v>
      </c>
      <c r="GC45" s="37" t="s">
        <v>3772</v>
      </c>
      <c r="GD45" s="37" t="s">
        <v>332</v>
      </c>
      <c r="GF45" s="22"/>
      <c r="GL45" s="48"/>
      <c r="GV45" s="128"/>
      <c r="GW45" s="4"/>
      <c r="GX45" s="37" t="s">
        <v>1029</v>
      </c>
      <c r="GY45" s="37" t="s">
        <v>1029</v>
      </c>
      <c r="GZ45" s="37" t="s">
        <v>1030</v>
      </c>
      <c r="HA45" s="37" t="s">
        <v>1029</v>
      </c>
      <c r="HB45" s="37" t="s">
        <v>1027</v>
      </c>
      <c r="HC45" s="37"/>
      <c r="HJ45" s="48"/>
      <c r="HK45" s="170"/>
      <c r="HM45" s="1" t="s">
        <v>3773</v>
      </c>
      <c r="HU45" s="534">
        <v>29</v>
      </c>
      <c r="HV45" s="534" t="s">
        <v>4049</v>
      </c>
      <c r="IB45" s="170"/>
      <c r="IC45" s="405"/>
      <c r="ID45" s="527" t="s">
        <v>611</v>
      </c>
      <c r="IE45" s="528" t="s">
        <v>611</v>
      </c>
      <c r="IF45" s="37" t="s">
        <v>3774</v>
      </c>
      <c r="IG45" s="37"/>
      <c r="IH45" s="37"/>
      <c r="II45" s="1"/>
      <c r="IJ45" s="1"/>
      <c r="IK45" s="1"/>
      <c r="IL45" s="1"/>
      <c r="IM45" s="405"/>
      <c r="IN45" s="178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78"/>
      <c r="JD45" s="135"/>
    </row>
    <row r="46" spans="9:264" ht="15.75">
      <c r="I46" s="22"/>
      <c r="J46" s="156" t="s">
        <v>140</v>
      </c>
      <c r="K46" s="156" t="s">
        <v>140</v>
      </c>
      <c r="L46" s="22">
        <v>9</v>
      </c>
      <c r="M46" s="22">
        <v>32</v>
      </c>
      <c r="N46" s="22">
        <v>51.4</v>
      </c>
      <c r="O46" s="22">
        <v>51</v>
      </c>
      <c r="P46" s="22">
        <v>40</v>
      </c>
      <c r="Q46" s="22">
        <v>38</v>
      </c>
      <c r="R46" s="22" t="s">
        <v>141</v>
      </c>
      <c r="S46" s="22" t="s">
        <v>142</v>
      </c>
      <c r="V46" s="4"/>
      <c r="X46" s="128" t="s">
        <v>2845</v>
      </c>
      <c r="Y46" s="6" t="str">
        <f>LOOKUP(Y36,(J5:J917):(R5:R917))</f>
        <v/>
      </c>
      <c r="AB46" s="5"/>
      <c r="AC46" s="108" t="s">
        <v>2876</v>
      </c>
      <c r="AI46" s="50"/>
      <c r="AJ46" s="50"/>
      <c r="AK46" s="50"/>
      <c r="AL46" s="50"/>
      <c r="AM46" s="50"/>
      <c r="AN46" s="50"/>
      <c r="AO46" s="50"/>
      <c r="AP46" s="63"/>
      <c r="AQ46" s="63"/>
      <c r="AR46" s="63"/>
      <c r="AS46" s="50"/>
      <c r="AT46" s="50"/>
      <c r="AU46" s="50"/>
      <c r="AV46" s="50"/>
      <c r="AW46" s="50"/>
      <c r="AX46" s="50"/>
      <c r="AY46" s="50"/>
      <c r="AZ46" s="5"/>
      <c r="BA46" s="5"/>
      <c r="BB46" s="5"/>
      <c r="BC46" s="5"/>
      <c r="BD46" s="97"/>
      <c r="BE46" s="38" t="s">
        <v>2823</v>
      </c>
      <c r="BF46" s="65" t="str">
        <f>BF110</f>
        <v>αμι β</v>
      </c>
      <c r="BN46" s="97"/>
      <c r="BO46" s="166"/>
      <c r="BQ46" s="38"/>
      <c r="BR46" s="180" t="s">
        <v>3173</v>
      </c>
      <c r="BS46" s="239" t="s">
        <v>10</v>
      </c>
      <c r="BT46" s="239" t="s">
        <v>3100</v>
      </c>
      <c r="BU46" s="239" t="s">
        <v>2858</v>
      </c>
      <c r="BV46" s="239" t="s">
        <v>13</v>
      </c>
      <c r="BW46" s="239" t="s">
        <v>11</v>
      </c>
      <c r="BX46" s="239" t="s">
        <v>2858</v>
      </c>
      <c r="BY46" s="241" t="s">
        <v>10</v>
      </c>
      <c r="BZ46" s="241" t="s">
        <v>3100</v>
      </c>
      <c r="CA46" s="241" t="s">
        <v>2858</v>
      </c>
      <c r="CB46" s="241" t="s">
        <v>13</v>
      </c>
      <c r="CC46" s="241" t="s">
        <v>11</v>
      </c>
      <c r="CD46" s="241" t="s">
        <v>2858</v>
      </c>
      <c r="CE46" s="6"/>
      <c r="CF46" s="6"/>
      <c r="CG46" s="6"/>
      <c r="CH46" s="6"/>
      <c r="CJ46" s="123"/>
      <c r="CK46" s="134" t="s">
        <v>3033</v>
      </c>
      <c r="CL46" s="209">
        <f>IF(CL45=3,1,0)</f>
        <v>1</v>
      </c>
      <c r="CM46" s="127"/>
      <c r="CN46" s="134" t="s">
        <v>3033</v>
      </c>
      <c r="CO46" s="209">
        <f>IF(CO45=3,1,0)</f>
        <v>1</v>
      </c>
      <c r="CP46" s="127"/>
      <c r="CQ46" s="6"/>
      <c r="CR46" s="138"/>
      <c r="CS46" s="133" t="s">
        <v>3073</v>
      </c>
      <c r="CT46" s="127"/>
      <c r="CW46" s="170"/>
      <c r="CY46" s="1" t="s">
        <v>2920</v>
      </c>
      <c r="CZ46" s="141" t="str">
        <f xml:space="preserve"> IF(CZ42=0,"          ",CZ44)</f>
        <v xml:space="preserve">          </v>
      </c>
      <c r="DC46" s="182"/>
      <c r="DE46" s="128" t="s">
        <v>3012</v>
      </c>
      <c r="DF46" s="128">
        <f>DF45*-1</f>
        <v>0</v>
      </c>
      <c r="DG46" s="1" t="s">
        <v>2988</v>
      </c>
      <c r="DH46" s="1">
        <f>-1*DH45</f>
        <v>0</v>
      </c>
      <c r="DK46" s="182"/>
      <c r="DM46" s="2"/>
      <c r="DN46" s="37" t="s">
        <v>339</v>
      </c>
      <c r="DO46" s="37" t="s">
        <v>339</v>
      </c>
      <c r="DP46" s="37" t="s">
        <v>339</v>
      </c>
      <c r="DQ46" s="37" t="s">
        <v>3323</v>
      </c>
      <c r="DR46" s="37" t="s">
        <v>340</v>
      </c>
      <c r="DS46" s="22"/>
      <c r="DT46" s="6"/>
      <c r="DZ46" s="48"/>
      <c r="ED46" s="50"/>
      <c r="EE46" s="50"/>
      <c r="EF46" s="50"/>
      <c r="EG46" s="438"/>
      <c r="EH46" s="6" t="s">
        <v>4070</v>
      </c>
      <c r="EI46" s="364"/>
      <c r="EJ46" s="6" t="str">
        <f ca="1">AQ63</f>
        <v/>
      </c>
      <c r="EK46" s="495" t="str">
        <f>AR63</f>
        <v/>
      </c>
      <c r="EL46" s="57"/>
      <c r="EM46" s="364"/>
      <c r="EN46" s="494" t="s">
        <v>4076</v>
      </c>
      <c r="EO46" s="6" t="str">
        <f ca="1">AQ63</f>
        <v/>
      </c>
      <c r="EP46" s="337"/>
      <c r="EQ46" s="50"/>
      <c r="ER46" s="50"/>
      <c r="ET46" s="97"/>
      <c r="EU46" s="38" t="s">
        <v>2823</v>
      </c>
      <c r="EV46" s="65" t="str">
        <f>EV113</f>
        <v>m</v>
      </c>
      <c r="EW46" s="65">
        <f>EW113</f>
        <v>13</v>
      </c>
      <c r="FH46" s="97"/>
      <c r="FK46" s="135"/>
      <c r="FO46" s="534" t="s">
        <v>2919</v>
      </c>
      <c r="FY46" s="2"/>
      <c r="FZ46" s="37" t="s">
        <v>330</v>
      </c>
      <c r="GA46" s="37" t="s">
        <v>330</v>
      </c>
      <c r="GB46" s="37" t="s">
        <v>330</v>
      </c>
      <c r="GC46" s="37" t="s">
        <v>3772</v>
      </c>
      <c r="GD46" s="37" t="s">
        <v>332</v>
      </c>
      <c r="GF46" s="22"/>
      <c r="GL46" s="48"/>
      <c r="GV46" s="128"/>
      <c r="GW46" s="4"/>
      <c r="GX46" s="37" t="s">
        <v>357</v>
      </c>
      <c r="GY46" s="37" t="s">
        <v>357</v>
      </c>
      <c r="GZ46" s="37" t="s">
        <v>358</v>
      </c>
      <c r="HA46" s="37" t="s">
        <v>357</v>
      </c>
      <c r="HB46" s="37" t="s">
        <v>3329</v>
      </c>
      <c r="HC46" s="37"/>
      <c r="HJ46" s="48"/>
      <c r="HK46" s="170"/>
      <c r="HM46" s="1" t="s">
        <v>3663</v>
      </c>
      <c r="HN46" s="1">
        <f>IF(HN19=HM46,5,0)</f>
        <v>0</v>
      </c>
      <c r="HU46" s="534"/>
      <c r="HV46" s="534"/>
      <c r="IB46" s="170"/>
      <c r="IC46" s="405"/>
      <c r="ID46" s="527" t="s">
        <v>764</v>
      </c>
      <c r="IE46" s="528" t="s">
        <v>764</v>
      </c>
      <c r="IF46" s="37" t="s">
        <v>3776</v>
      </c>
      <c r="IG46" s="37"/>
      <c r="IH46" s="37"/>
      <c r="II46" s="1"/>
      <c r="IJ46" s="1"/>
      <c r="IK46" s="1"/>
      <c r="IL46" s="1"/>
      <c r="IM46" s="405"/>
      <c r="IN46" s="178"/>
      <c r="IO46" s="1"/>
      <c r="IP46" s="1"/>
      <c r="IQ46" s="1" t="s">
        <v>3284</v>
      </c>
      <c r="IR46" s="1" t="s">
        <v>3752</v>
      </c>
      <c r="IS46" s="128"/>
      <c r="IT46" s="1"/>
      <c r="IU46" s="1"/>
      <c r="IV46" s="1"/>
      <c r="IW46" s="1"/>
      <c r="IX46" s="1"/>
      <c r="IY46" s="1"/>
      <c r="IZ46" s="1"/>
      <c r="JA46" s="1"/>
      <c r="JB46" s="1"/>
      <c r="JC46" s="178"/>
      <c r="JD46" s="135"/>
    </row>
    <row r="47" spans="9:264" ht="18.75">
      <c r="I47" s="22"/>
      <c r="J47" s="156" t="s">
        <v>143</v>
      </c>
      <c r="K47" s="156" t="s">
        <v>143</v>
      </c>
      <c r="L47" s="22">
        <v>8</v>
      </c>
      <c r="M47" s="22">
        <v>59</v>
      </c>
      <c r="N47" s="22">
        <v>12.5</v>
      </c>
      <c r="O47" s="22">
        <v>48</v>
      </c>
      <c r="P47" s="22">
        <v>2</v>
      </c>
      <c r="Q47" s="22">
        <v>31</v>
      </c>
      <c r="R47" s="22" t="s">
        <v>144</v>
      </c>
      <c r="S47" s="22" t="s">
        <v>145</v>
      </c>
      <c r="V47" s="4"/>
      <c r="X47" s="128" t="s">
        <v>2846</v>
      </c>
      <c r="Y47" s="6" t="str">
        <f>LOOKUP(Y36,(J5:J917),(S5:S917))</f>
        <v/>
      </c>
      <c r="AB47" s="5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"/>
      <c r="BA47" s="5"/>
      <c r="BB47" s="5"/>
      <c r="BC47" s="5"/>
      <c r="BD47" s="97"/>
      <c r="BE47" s="38" t="s">
        <v>3239</v>
      </c>
      <c r="BF47" s="65" t="str">
        <f>BF111</f>
        <v>ωρίων</v>
      </c>
      <c r="BN47" s="97"/>
      <c r="BO47" s="166"/>
      <c r="BQ47" s="293" t="s">
        <v>461</v>
      </c>
      <c r="BR47" s="295">
        <v>1</v>
      </c>
      <c r="BS47" s="65" t="str">
        <f>AD38</f>
        <v/>
      </c>
      <c r="BT47" s="65" t="str">
        <f>AD39</f>
        <v/>
      </c>
      <c r="BU47" s="65" t="str">
        <f>AD40</f>
        <v/>
      </c>
      <c r="BV47" s="65" t="str">
        <f>AD42</f>
        <v/>
      </c>
      <c r="BW47" s="65" t="str">
        <f>AD43</f>
        <v/>
      </c>
      <c r="BX47" s="65" t="str">
        <f>AD44</f>
        <v/>
      </c>
      <c r="BY47" s="65" t="str">
        <f>AD66</f>
        <v/>
      </c>
      <c r="BZ47" s="65" t="str">
        <f>AD67</f>
        <v/>
      </c>
      <c r="CA47" s="65" t="str">
        <f>AD68</f>
        <v/>
      </c>
      <c r="CB47" s="65" t="str">
        <f>AD70</f>
        <v/>
      </c>
      <c r="CC47" s="65" t="str">
        <f>AD71</f>
        <v/>
      </c>
      <c r="CD47" s="65" t="str">
        <f>AD72</f>
        <v/>
      </c>
      <c r="CE47" s="6"/>
      <c r="CF47" s="6"/>
      <c r="CG47" s="6"/>
      <c r="CH47" s="6"/>
      <c r="CJ47" s="123"/>
      <c r="CK47" s="133" t="s">
        <v>3034</v>
      </c>
      <c r="CL47" s="128"/>
      <c r="CM47" s="127"/>
      <c r="CN47" s="133" t="s">
        <v>3034</v>
      </c>
      <c r="CO47" s="128"/>
      <c r="CP47" s="127"/>
      <c r="CQ47" s="6"/>
      <c r="CR47" s="138"/>
      <c r="CS47" s="38" t="s">
        <v>3074</v>
      </c>
      <c r="CT47" s="127">
        <f>CT34*15</f>
        <v>0</v>
      </c>
      <c r="CW47" s="170"/>
      <c r="CY47" s="1" t="s">
        <v>2921</v>
      </c>
      <c r="CZ47" s="141">
        <f>CZ42*60</f>
        <v>0</v>
      </c>
      <c r="DC47" s="182"/>
      <c r="DE47" s="128" t="s">
        <v>2995</v>
      </c>
      <c r="DF47" s="6">
        <f>IF(DF46=0,DF43,DF46)</f>
        <v>0</v>
      </c>
      <c r="DG47" s="1" t="s">
        <v>2996</v>
      </c>
      <c r="DH47" s="406">
        <f>IF(DF44=1,DH46,DH35)</f>
        <v>0</v>
      </c>
      <c r="DK47" s="182"/>
      <c r="DM47" s="2"/>
      <c r="DN47" s="37" t="s">
        <v>3324</v>
      </c>
      <c r="DO47" s="37" t="s">
        <v>3324</v>
      </c>
      <c r="DP47" s="37" t="s">
        <v>350</v>
      </c>
      <c r="DQ47" s="37" t="s">
        <v>3325</v>
      </c>
      <c r="DR47" s="37" t="s">
        <v>351</v>
      </c>
      <c r="DS47" s="22"/>
      <c r="DT47" s="6"/>
      <c r="DZ47" s="48"/>
      <c r="ED47" s="50"/>
      <c r="EE47" s="50"/>
      <c r="EF47" s="50"/>
      <c r="EG47" s="438"/>
      <c r="EH47" s="6" t="s">
        <v>4071</v>
      </c>
      <c r="EI47" s="364"/>
      <c r="EJ47" s="591" t="str">
        <f>AQ64</f>
        <v/>
      </c>
      <c r="EK47" s="194" t="s">
        <v>4110</v>
      </c>
      <c r="EL47" s="297"/>
      <c r="EM47" s="499" t="str">
        <f>AS64</f>
        <v/>
      </c>
      <c r="EN47" s="494" t="s">
        <v>4077</v>
      </c>
      <c r="EO47" s="591" t="str">
        <f>AU64</f>
        <v/>
      </c>
      <c r="EP47" s="337"/>
      <c r="EQ47" s="50"/>
      <c r="ER47" s="50"/>
      <c r="ET47" s="97"/>
      <c r="EU47" s="38" t="s">
        <v>3239</v>
      </c>
      <c r="EV47" s="65" t="str">
        <f>EV114</f>
        <v>Orion</v>
      </c>
      <c r="FH47" s="97"/>
      <c r="FK47" s="135"/>
      <c r="FO47" s="549" t="str">
        <f>IO22</f>
        <v/>
      </c>
      <c r="FY47" s="2"/>
      <c r="FZ47" s="37" t="s">
        <v>3320</v>
      </c>
      <c r="GA47" s="37" t="s">
        <v>3320</v>
      </c>
      <c r="GB47" s="37" t="s">
        <v>334</v>
      </c>
      <c r="GC47" s="37" t="s">
        <v>3778</v>
      </c>
      <c r="GD47" s="37" t="s">
        <v>337</v>
      </c>
      <c r="GF47" s="22"/>
      <c r="GL47" s="48"/>
      <c r="GV47" s="128"/>
      <c r="GW47" s="4"/>
      <c r="GX47" s="37" t="s">
        <v>409</v>
      </c>
      <c r="GY47" s="37" t="s">
        <v>409</v>
      </c>
      <c r="GZ47" s="37" t="s">
        <v>410</v>
      </c>
      <c r="HA47" s="37" t="s">
        <v>409</v>
      </c>
      <c r="HB47" s="37" t="s">
        <v>407</v>
      </c>
      <c r="HC47" s="37"/>
      <c r="HJ47" s="48"/>
      <c r="HK47" s="170"/>
      <c r="HM47" s="1" t="s">
        <v>3779</v>
      </c>
      <c r="HN47" s="1">
        <f>IF(HN19=HM47,5,0)</f>
        <v>0</v>
      </c>
      <c r="HU47" s="534"/>
      <c r="HV47" s="534"/>
      <c r="IB47" s="170"/>
      <c r="IC47" s="405"/>
      <c r="ID47" s="527" t="s">
        <v>381</v>
      </c>
      <c r="IE47" s="528" t="s">
        <v>381</v>
      </c>
      <c r="IF47" s="37" t="s">
        <v>3780</v>
      </c>
      <c r="IG47" s="37"/>
      <c r="IH47" s="37"/>
      <c r="II47" s="1"/>
      <c r="IJ47" s="1"/>
      <c r="IK47" s="1"/>
      <c r="IL47" s="1"/>
      <c r="IM47" s="405"/>
      <c r="IN47" s="178"/>
      <c r="IO47" s="1"/>
      <c r="IP47" s="1"/>
      <c r="IQ47" s="187">
        <f>IQ26</f>
        <v>0</v>
      </c>
      <c r="IR47" s="190">
        <f>IQ44</f>
        <v>0</v>
      </c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78"/>
      <c r="JD47" s="135"/>
    </row>
    <row r="48" spans="9:264">
      <c r="I48" s="22"/>
      <c r="J48" s="156" t="s">
        <v>146</v>
      </c>
      <c r="K48" s="156" t="s">
        <v>146</v>
      </c>
      <c r="L48" s="22">
        <v>9</v>
      </c>
      <c r="M48" s="22">
        <v>3</v>
      </c>
      <c r="N48" s="22">
        <v>37.5</v>
      </c>
      <c r="O48" s="22">
        <v>47</v>
      </c>
      <c r="P48" s="22">
        <v>9</v>
      </c>
      <c r="Q48" s="22">
        <v>23</v>
      </c>
      <c r="R48" s="22" t="s">
        <v>147</v>
      </c>
      <c r="S48" s="22" t="s">
        <v>148</v>
      </c>
      <c r="V48" s="4"/>
      <c r="X48" s="128" t="s">
        <v>2847</v>
      </c>
      <c r="Y48" s="12" t="str">
        <f>IF(Y46=0,"",Y46)</f>
        <v/>
      </c>
      <c r="AB48" s="5"/>
      <c r="AC48" s="109" t="str">
        <f>Y48</f>
        <v/>
      </c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97"/>
      <c r="BE48" s="95" t="s">
        <v>2866</v>
      </c>
      <c r="BF48" s="65">
        <f>BF108</f>
        <v>2000</v>
      </c>
      <c r="BN48" s="97"/>
      <c r="BO48" s="166"/>
      <c r="BQ48" s="201" t="s">
        <v>2862</v>
      </c>
      <c r="BR48" s="295">
        <v>2</v>
      </c>
      <c r="BS48" s="65">
        <f>CT124</f>
        <v>0</v>
      </c>
      <c r="BT48" s="65">
        <f>CT125</f>
        <v>0</v>
      </c>
      <c r="BU48" s="65">
        <f>CT126</f>
        <v>0</v>
      </c>
      <c r="BV48" s="65">
        <f>CT128</f>
        <v>0</v>
      </c>
      <c r="BW48" s="65">
        <f>CT129</f>
        <v>0</v>
      </c>
      <c r="BX48" s="65">
        <f>CT130</f>
        <v>0</v>
      </c>
      <c r="BY48" s="65">
        <f>CT132</f>
        <v>0</v>
      </c>
      <c r="BZ48" s="65">
        <f>CT133</f>
        <v>0</v>
      </c>
      <c r="CA48" s="65">
        <f>CT134</f>
        <v>0</v>
      </c>
      <c r="CB48" s="65">
        <f>CT136</f>
        <v>0</v>
      </c>
      <c r="CC48" s="65">
        <f>CT137</f>
        <v>0</v>
      </c>
      <c r="CD48" s="65">
        <f>CT138</f>
        <v>0</v>
      </c>
      <c r="CE48" s="6"/>
      <c r="CF48" s="6"/>
      <c r="CG48" s="6"/>
      <c r="CH48" s="6"/>
      <c r="CJ48" s="123"/>
      <c r="CK48" s="38" t="s">
        <v>3035</v>
      </c>
      <c r="CL48" s="128">
        <f>IF(CL25&gt;0,0,1)</f>
        <v>1</v>
      </c>
      <c r="CM48" s="127"/>
      <c r="CN48" s="38" t="s">
        <v>3035</v>
      </c>
      <c r="CO48" s="128">
        <f>IF(CO25&gt;0,0,1)</f>
        <v>1</v>
      </c>
      <c r="CP48" s="127"/>
      <c r="CQ48" s="6"/>
      <c r="CR48" s="138"/>
      <c r="CS48" s="38" t="s">
        <v>3075</v>
      </c>
      <c r="CT48" s="225">
        <f>SIN(RADIANS(CT47))</f>
        <v>0</v>
      </c>
      <c r="CW48" s="170"/>
      <c r="CY48" s="1" t="s">
        <v>2922</v>
      </c>
      <c r="CZ48" s="141">
        <f>CZ42*6</f>
        <v>0</v>
      </c>
      <c r="DC48" s="182"/>
      <c r="DE48" s="145" t="s">
        <v>3013</v>
      </c>
      <c r="DF48" s="6">
        <f>DF47</f>
        <v>0</v>
      </c>
      <c r="DG48" s="1" t="s">
        <v>3275</v>
      </c>
      <c r="DH48" s="175"/>
      <c r="DK48" s="182"/>
      <c r="DM48" s="2"/>
      <c r="DN48" s="37" t="s">
        <v>350</v>
      </c>
      <c r="DO48" s="37" t="s">
        <v>350</v>
      </c>
      <c r="DP48" s="37" t="s">
        <v>350</v>
      </c>
      <c r="DQ48" s="37" t="s">
        <v>3325</v>
      </c>
      <c r="DR48" s="37" t="s">
        <v>351</v>
      </c>
      <c r="DS48" s="22"/>
      <c r="DT48" s="6"/>
      <c r="DZ48" s="48"/>
      <c r="ED48" s="50"/>
      <c r="EE48" s="50"/>
      <c r="EF48" s="50"/>
      <c r="EG48" s="438"/>
      <c r="EH48" s="366"/>
      <c r="EI48" s="364"/>
      <c r="EJ48" s="592" t="str">
        <f>AQ65</f>
        <v/>
      </c>
      <c r="EK48" s="282"/>
      <c r="EL48" s="426"/>
      <c r="EM48" s="426"/>
      <c r="EN48" s="364" t="s">
        <v>4067</v>
      </c>
      <c r="EO48" s="592" t="str">
        <f>AU65</f>
        <v/>
      </c>
      <c r="EP48" s="337"/>
      <c r="EQ48" s="50"/>
      <c r="ER48" s="50"/>
      <c r="ET48" s="97"/>
      <c r="EU48" s="95" t="s">
        <v>2866</v>
      </c>
      <c r="EV48" s="65">
        <f>EV111</f>
        <v>2000</v>
      </c>
      <c r="FH48" s="97"/>
      <c r="FK48" s="135"/>
      <c r="FN48" s="3"/>
      <c r="FO48" s="3"/>
      <c r="FP48" s="3"/>
      <c r="FQ48" s="576" t="s">
        <v>4020</v>
      </c>
      <c r="FR48" s="576" t="s">
        <v>4021</v>
      </c>
      <c r="FS48" s="3"/>
      <c r="FT48" s="3"/>
      <c r="FY48" s="2"/>
      <c r="FZ48" s="37" t="s">
        <v>334</v>
      </c>
      <c r="GA48" s="37" t="s">
        <v>334</v>
      </c>
      <c r="GB48" s="37" t="s">
        <v>334</v>
      </c>
      <c r="GC48" s="37" t="s">
        <v>3778</v>
      </c>
      <c r="GD48" s="37" t="s">
        <v>337</v>
      </c>
      <c r="GF48" s="22"/>
      <c r="GL48" s="48"/>
      <c r="GV48" s="128"/>
      <c r="GW48" s="4"/>
      <c r="GX48" s="37" t="s">
        <v>657</v>
      </c>
      <c r="GY48" s="37" t="s">
        <v>657</v>
      </c>
      <c r="GZ48" s="37" t="s">
        <v>658</v>
      </c>
      <c r="HA48" s="37" t="s">
        <v>657</v>
      </c>
      <c r="HB48" s="37" t="s">
        <v>3217</v>
      </c>
      <c r="HC48" s="37"/>
      <c r="HJ48" s="48"/>
      <c r="HK48" s="170"/>
      <c r="HM48" s="1" t="s">
        <v>3781</v>
      </c>
      <c r="HN48" s="1">
        <f>IF(HN19=HM48,5,0)</f>
        <v>0</v>
      </c>
      <c r="HU48" s="534"/>
      <c r="HV48" s="534"/>
      <c r="IB48" s="170"/>
      <c r="IC48" s="405"/>
      <c r="ID48" s="527" t="s">
        <v>337</v>
      </c>
      <c r="IE48" s="528" t="s">
        <v>337</v>
      </c>
      <c r="IF48" s="37" t="s">
        <v>3782</v>
      </c>
      <c r="IG48" s="37"/>
      <c r="IH48" s="37"/>
      <c r="II48" s="1"/>
      <c r="IJ48" s="1"/>
      <c r="IK48" s="1"/>
      <c r="IL48" s="1"/>
      <c r="IM48" s="405"/>
      <c r="IN48" s="178"/>
      <c r="IO48" s="1"/>
      <c r="IP48" s="1" t="s">
        <v>3761</v>
      </c>
      <c r="IQ48" s="1">
        <f>IF(IR47&lt;10,IR47,0)</f>
        <v>0</v>
      </c>
      <c r="IR48" s="1"/>
      <c r="IS48" s="1"/>
      <c r="IT48" s="547">
        <f>IQ53</f>
        <v>0</v>
      </c>
      <c r="IU48" s="1"/>
      <c r="IV48" s="1"/>
      <c r="IW48" s="1"/>
      <c r="IX48" s="1"/>
      <c r="IY48" s="1"/>
      <c r="IZ48" s="1"/>
      <c r="JA48" s="1"/>
      <c r="JB48" s="1"/>
      <c r="JC48" s="178"/>
      <c r="JD48" s="135"/>
    </row>
    <row r="49" spans="6:264">
      <c r="I49" s="22"/>
      <c r="J49" s="156" t="s">
        <v>149</v>
      </c>
      <c r="K49" s="156" t="s">
        <v>149</v>
      </c>
      <c r="L49" s="22">
        <v>10</v>
      </c>
      <c r="M49" s="22">
        <v>17</v>
      </c>
      <c r="N49" s="22">
        <v>5.8</v>
      </c>
      <c r="O49" s="22">
        <v>42</v>
      </c>
      <c r="P49" s="22">
        <v>54</v>
      </c>
      <c r="Q49" s="22">
        <v>52</v>
      </c>
      <c r="R49" s="22" t="s">
        <v>150</v>
      </c>
      <c r="S49" s="22" t="s">
        <v>151</v>
      </c>
      <c r="V49" s="4"/>
      <c r="X49" s="128" t="s">
        <v>2848</v>
      </c>
      <c r="Y49" s="12" t="str">
        <f>IF(Y47=0,"",Y47)</f>
        <v/>
      </c>
      <c r="AB49" s="5"/>
      <c r="AC49" s="109" t="str">
        <f>Y49</f>
        <v/>
      </c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97"/>
      <c r="BN49" s="97"/>
      <c r="BO49" s="166"/>
      <c r="BQ49" s="38"/>
      <c r="BR49" s="243"/>
      <c r="BS49" s="128"/>
      <c r="BT49" s="128"/>
      <c r="BU49" s="128"/>
      <c r="BV49" s="128"/>
      <c r="BW49" s="128"/>
      <c r="BX49" s="128"/>
      <c r="BY49" s="128"/>
      <c r="BZ49" s="128"/>
      <c r="CA49" s="128"/>
      <c r="CB49" s="128"/>
      <c r="CC49" s="128"/>
      <c r="CD49" s="127"/>
      <c r="CJ49" s="123"/>
      <c r="CK49" s="38" t="s">
        <v>3036</v>
      </c>
      <c r="CL49" s="128">
        <f>IF(CL30&gt;0,0,1)</f>
        <v>1</v>
      </c>
      <c r="CM49" s="127"/>
      <c r="CN49" s="38" t="s">
        <v>3036</v>
      </c>
      <c r="CO49" s="128">
        <f>IF(CO30&gt;0,0,1)</f>
        <v>1</v>
      </c>
      <c r="CP49" s="127"/>
      <c r="CQ49" s="6"/>
      <c r="CR49" s="138"/>
      <c r="CS49" s="38" t="s">
        <v>3076</v>
      </c>
      <c r="CT49" s="127">
        <f>CT44*15</f>
        <v>0</v>
      </c>
      <c r="CW49" s="170"/>
      <c r="CZ49" s="6"/>
      <c r="DC49" s="182"/>
      <c r="DE49" s="1" t="s">
        <v>3014</v>
      </c>
      <c r="DF49" s="190">
        <f>IF(DF48&gt;100,0,DF48)</f>
        <v>0</v>
      </c>
      <c r="DK49" s="182"/>
      <c r="DM49" s="2"/>
      <c r="DN49" s="37" t="s">
        <v>3326</v>
      </c>
      <c r="DO49" s="37" t="s">
        <v>3326</v>
      </c>
      <c r="DP49" s="37" t="s">
        <v>3212</v>
      </c>
      <c r="DQ49" s="37" t="s">
        <v>3327</v>
      </c>
      <c r="DR49" s="37" t="s">
        <v>356</v>
      </c>
      <c r="DS49" s="22"/>
      <c r="DT49" s="6"/>
      <c r="DZ49" s="48"/>
      <c r="ED49" s="50"/>
      <c r="EE49" s="50"/>
      <c r="EF49" s="50"/>
      <c r="EG49" s="438"/>
      <c r="EH49" s="496" t="s">
        <v>3526</v>
      </c>
      <c r="EI49" s="497"/>
      <c r="EJ49" s="426"/>
      <c r="EK49" s="57"/>
      <c r="EL49" s="57"/>
      <c r="EM49" s="57"/>
      <c r="EN49" s="57"/>
      <c r="EO49" s="279"/>
      <c r="EP49" s="337"/>
      <c r="EQ49" s="50"/>
      <c r="ER49" s="50"/>
      <c r="ET49" s="97"/>
      <c r="FH49" s="97"/>
      <c r="FK49" s="135"/>
      <c r="FN49" s="3"/>
      <c r="FO49" s="550"/>
      <c r="FP49" s="550"/>
      <c r="FQ49" s="550"/>
      <c r="FR49" s="550" t="s">
        <v>3783</v>
      </c>
      <c r="FS49" s="550"/>
      <c r="FT49" s="3"/>
      <c r="FY49" s="2"/>
      <c r="FZ49" s="37" t="s">
        <v>3322</v>
      </c>
      <c r="GA49" s="37" t="s">
        <v>3322</v>
      </c>
      <c r="GB49" s="37" t="s">
        <v>339</v>
      </c>
      <c r="GC49" s="37" t="s">
        <v>3784</v>
      </c>
      <c r="GD49" s="37" t="s">
        <v>342</v>
      </c>
      <c r="GF49" s="22"/>
      <c r="GL49" s="48"/>
      <c r="GV49" s="128"/>
      <c r="GW49" s="4"/>
      <c r="GX49" s="37" t="s">
        <v>610</v>
      </c>
      <c r="GY49" s="37" t="s">
        <v>610</v>
      </c>
      <c r="GZ49" s="37" t="s">
        <v>611</v>
      </c>
      <c r="HA49" s="37" t="s">
        <v>610</v>
      </c>
      <c r="HB49" s="37" t="s">
        <v>608</v>
      </c>
      <c r="HC49" s="37"/>
      <c r="HJ49" s="48"/>
      <c r="HK49" s="170"/>
      <c r="HM49" s="1" t="s">
        <v>3688</v>
      </c>
      <c r="HN49" s="170">
        <f>HN46+HN47+HN48</f>
        <v>0</v>
      </c>
      <c r="HU49" s="521"/>
      <c r="HV49" s="521"/>
      <c r="IB49" s="170"/>
      <c r="IC49" s="405"/>
      <c r="ID49" s="527" t="s">
        <v>540</v>
      </c>
      <c r="IE49" s="528" t="s">
        <v>540</v>
      </c>
      <c r="IF49" s="37" t="s">
        <v>3785</v>
      </c>
      <c r="IG49" s="37"/>
      <c r="IH49" s="37"/>
      <c r="II49" s="1"/>
      <c r="IJ49" s="1"/>
      <c r="IK49" s="1"/>
      <c r="IL49" s="1"/>
      <c r="IM49" s="405"/>
      <c r="IN49" s="178"/>
      <c r="IO49" s="1"/>
      <c r="IP49" s="1" t="s">
        <v>3766</v>
      </c>
      <c r="IQ49" s="205">
        <f>IF(IQ48&gt;0,1,0)</f>
        <v>0</v>
      </c>
      <c r="IR49" s="1"/>
      <c r="IS49" s="1"/>
      <c r="IT49" s="65">
        <v>0</v>
      </c>
      <c r="IU49" s="141"/>
      <c r="IV49" s="65" t="s">
        <v>3694</v>
      </c>
      <c r="IW49" s="65" t="s">
        <v>3694</v>
      </c>
      <c r="IX49" s="1"/>
      <c r="IY49" s="1"/>
      <c r="IZ49" s="1"/>
      <c r="JA49" s="1"/>
      <c r="JB49" s="1"/>
      <c r="JC49" s="178"/>
      <c r="JD49" s="135"/>
    </row>
    <row r="50" spans="6:264">
      <c r="F50" s="398"/>
      <c r="I50" s="22"/>
      <c r="J50" s="156" t="s">
        <v>152</v>
      </c>
      <c r="K50" s="156" t="s">
        <v>152</v>
      </c>
      <c r="L50" s="22">
        <v>10</v>
      </c>
      <c r="M50" s="22">
        <v>22</v>
      </c>
      <c r="N50" s="22">
        <v>19.7</v>
      </c>
      <c r="O50" s="22">
        <v>41</v>
      </c>
      <c r="P50" s="22">
        <v>29</v>
      </c>
      <c r="Q50" s="22">
        <v>58</v>
      </c>
      <c r="R50" s="22" t="s">
        <v>153</v>
      </c>
      <c r="S50" s="22" t="s">
        <v>154</v>
      </c>
      <c r="V50" s="4"/>
      <c r="W50" s="119"/>
      <c r="X50" s="147" t="s">
        <v>2851</v>
      </c>
      <c r="Y50" s="119"/>
      <c r="AB50" s="5"/>
      <c r="AC50" s="120" t="s">
        <v>3022</v>
      </c>
      <c r="AD50" s="119"/>
      <c r="AE50" s="119"/>
      <c r="AF50" s="119" t="s">
        <v>2069</v>
      </c>
      <c r="AG50" s="119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97"/>
      <c r="BN50" s="97"/>
      <c r="BO50" s="166"/>
      <c r="BQ50" s="38"/>
      <c r="BR50" s="244">
        <v>10</v>
      </c>
      <c r="BS50" s="128" t="s">
        <v>3102</v>
      </c>
      <c r="BT50" s="128"/>
      <c r="BU50" s="128"/>
      <c r="BV50" s="128"/>
      <c r="BW50" s="128"/>
      <c r="BX50" s="128"/>
      <c r="BY50" s="128"/>
      <c r="BZ50" s="128"/>
      <c r="CA50" s="128"/>
      <c r="CB50" s="128"/>
      <c r="CC50" s="128"/>
      <c r="CD50" s="127"/>
      <c r="CJ50" s="123"/>
      <c r="CK50" s="38" t="s">
        <v>3037</v>
      </c>
      <c r="CL50" s="128">
        <f>IF(CL35&gt;0,0,1)</f>
        <v>1</v>
      </c>
      <c r="CM50" s="127"/>
      <c r="CN50" s="38" t="s">
        <v>3037</v>
      </c>
      <c r="CO50" s="128">
        <f>IF(CO35&gt;0,0,1)</f>
        <v>1</v>
      </c>
      <c r="CP50" s="127"/>
      <c r="CQ50" s="6"/>
      <c r="CR50" s="138"/>
      <c r="CS50" s="38" t="s">
        <v>3075</v>
      </c>
      <c r="CT50" s="225">
        <f>SIN(RADIANS(CT49))</f>
        <v>0</v>
      </c>
      <c r="CW50" s="170"/>
      <c r="CX50" s="260"/>
      <c r="CY50" s="242" t="s">
        <v>2923</v>
      </c>
      <c r="CZ50" s="260"/>
      <c r="DA50" s="260"/>
      <c r="DB50" s="260"/>
      <c r="DC50" s="182"/>
      <c r="DD50" s="182"/>
      <c r="DE50" s="182"/>
      <c r="DF50" s="182"/>
      <c r="DG50" s="182"/>
      <c r="DH50" s="182"/>
      <c r="DI50" s="182"/>
      <c r="DJ50" s="182"/>
      <c r="DK50" s="182"/>
      <c r="DM50" s="2"/>
      <c r="DN50" s="37" t="s">
        <v>3212</v>
      </c>
      <c r="DO50" s="37" t="s">
        <v>3212</v>
      </c>
      <c r="DP50" s="37" t="s">
        <v>3212</v>
      </c>
      <c r="DQ50" s="37" t="s">
        <v>3327</v>
      </c>
      <c r="DR50" s="37" t="s">
        <v>356</v>
      </c>
      <c r="DS50" s="22"/>
      <c r="DT50" s="6"/>
      <c r="DZ50" s="48"/>
      <c r="ED50" s="50"/>
      <c r="EE50" s="50"/>
      <c r="EF50" s="50"/>
      <c r="EG50" s="438" t="s">
        <v>2069</v>
      </c>
      <c r="EH50" s="594" t="s">
        <v>4089</v>
      </c>
      <c r="EI50" s="57"/>
      <c r="EJ50" s="297"/>
      <c r="EK50" s="297"/>
      <c r="EL50" s="297"/>
      <c r="EM50" s="297"/>
      <c r="EN50" s="498" t="s">
        <v>4092</v>
      </c>
      <c r="EO50" s="277"/>
      <c r="EP50" s="337"/>
      <c r="EQ50" s="50"/>
      <c r="ER50" s="50"/>
      <c r="ET50" s="97"/>
      <c r="FH50" s="97"/>
      <c r="FK50" s="135"/>
      <c r="FN50" s="3"/>
      <c r="FO50" s="550"/>
      <c r="FP50" s="551" t="s">
        <v>4018</v>
      </c>
      <c r="FQ50" s="505"/>
      <c r="FR50" s="550" t="s">
        <v>3787</v>
      </c>
      <c r="FS50" s="550"/>
      <c r="FT50" s="3"/>
      <c r="FY50" s="2"/>
      <c r="FZ50" s="37" t="s">
        <v>339</v>
      </c>
      <c r="GA50" s="37" t="s">
        <v>339</v>
      </c>
      <c r="GB50" s="37" t="s">
        <v>339</v>
      </c>
      <c r="GC50" s="37" t="s">
        <v>3788</v>
      </c>
      <c r="GD50" s="37" t="s">
        <v>342</v>
      </c>
      <c r="GF50" s="22"/>
      <c r="GL50" s="48"/>
      <c r="GV50" s="128"/>
      <c r="GW50" s="4"/>
      <c r="GX50" s="37" t="s">
        <v>763</v>
      </c>
      <c r="GY50" s="37" t="s">
        <v>763</v>
      </c>
      <c r="GZ50" s="37" t="s">
        <v>764</v>
      </c>
      <c r="HA50" s="37" t="s">
        <v>763</v>
      </c>
      <c r="HB50" s="37" t="s">
        <v>761</v>
      </c>
      <c r="HC50" s="37"/>
      <c r="HJ50" s="48"/>
      <c r="HK50" s="170"/>
      <c r="HM50" s="191">
        <v>6</v>
      </c>
      <c r="IB50" s="170"/>
      <c r="IC50" s="405"/>
      <c r="ID50" s="527" t="s">
        <v>2661</v>
      </c>
      <c r="IE50" s="528" t="s">
        <v>2661</v>
      </c>
      <c r="IF50" s="37" t="s">
        <v>3789</v>
      </c>
      <c r="IG50" s="37"/>
      <c r="IH50" s="37"/>
      <c r="II50" s="1"/>
      <c r="IJ50" s="1"/>
      <c r="IK50" s="1"/>
      <c r="IL50" s="1"/>
      <c r="IM50" s="405"/>
      <c r="IN50" s="178"/>
      <c r="IO50" s="1"/>
      <c r="IP50" s="1" t="s">
        <v>3769</v>
      </c>
      <c r="IQ50" s="1">
        <f>IF(IR47&lt;100,IR47,0)</f>
        <v>0</v>
      </c>
      <c r="IR50" s="1"/>
      <c r="IS50" s="1"/>
      <c r="IT50" s="65">
        <v>1</v>
      </c>
      <c r="IU50" s="141"/>
      <c r="IV50" s="65">
        <v>0</v>
      </c>
      <c r="IW50" s="65">
        <v>0</v>
      </c>
      <c r="IX50" s="1"/>
      <c r="IY50" s="1"/>
      <c r="IZ50" s="1"/>
      <c r="JA50" s="1"/>
      <c r="JB50" s="1"/>
      <c r="JC50" s="178"/>
      <c r="JD50" s="135"/>
    </row>
    <row r="51" spans="6:264">
      <c r="I51" s="22"/>
      <c r="J51" s="156" t="s">
        <v>155</v>
      </c>
      <c r="K51" s="156" t="s">
        <v>155</v>
      </c>
      <c r="L51" s="22">
        <v>11</v>
      </c>
      <c r="M51" s="22">
        <v>18</v>
      </c>
      <c r="N51" s="22">
        <v>28.7</v>
      </c>
      <c r="O51" s="22">
        <v>33</v>
      </c>
      <c r="P51" s="22">
        <v>5</v>
      </c>
      <c r="Q51" s="22">
        <v>39</v>
      </c>
      <c r="R51" s="22" t="s">
        <v>156</v>
      </c>
      <c r="S51" s="22" t="s">
        <v>157</v>
      </c>
      <c r="V51" s="4"/>
      <c r="X51" s="168" t="s">
        <v>2837</v>
      </c>
      <c r="AB51" s="5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97"/>
      <c r="BF51" s="80" t="s">
        <v>2827</v>
      </c>
      <c r="BG51" s="107" t="s">
        <v>2794</v>
      </c>
      <c r="BH51" s="107" t="s">
        <v>2823</v>
      </c>
      <c r="BI51" s="107" t="s">
        <v>3238</v>
      </c>
      <c r="BJ51" s="107" t="s">
        <v>2863</v>
      </c>
      <c r="BK51" s="95" t="s">
        <v>2828</v>
      </c>
      <c r="BN51" s="97"/>
      <c r="BO51" s="166"/>
      <c r="BQ51" s="95"/>
      <c r="BR51" s="247">
        <v>11</v>
      </c>
      <c r="BS51" s="248" t="s">
        <v>3103</v>
      </c>
      <c r="BT51" s="248"/>
      <c r="BU51" s="248"/>
      <c r="BV51" s="248"/>
      <c r="BW51" s="248"/>
      <c r="BX51" s="248"/>
      <c r="BY51" s="248"/>
      <c r="BZ51" s="248"/>
      <c r="CA51" s="248"/>
      <c r="CB51" s="248"/>
      <c r="CC51" s="248"/>
      <c r="CD51" s="249"/>
      <c r="CJ51" s="123"/>
      <c r="CK51" s="38" t="s">
        <v>3032</v>
      </c>
      <c r="CL51" s="128">
        <f>CL48+CL49+CL50</f>
        <v>3</v>
      </c>
      <c r="CM51" s="127"/>
      <c r="CN51" s="38" t="s">
        <v>3032</v>
      </c>
      <c r="CO51" s="128">
        <f>CO48+CO49+CO50</f>
        <v>3</v>
      </c>
      <c r="CP51" s="127"/>
      <c r="CQ51" s="6"/>
      <c r="CR51" s="138"/>
      <c r="CS51" s="38" t="s">
        <v>3077</v>
      </c>
      <c r="CT51" s="127">
        <f>CT50-CT48</f>
        <v>0</v>
      </c>
      <c r="CW51" s="170"/>
      <c r="CY51" s="108" t="s">
        <v>2854</v>
      </c>
      <c r="DC51" s="182"/>
      <c r="DD51" s="175"/>
      <c r="DE51" s="267" t="s">
        <v>2998</v>
      </c>
      <c r="DF51" s="57">
        <f>DF90</f>
        <v>0</v>
      </c>
      <c r="DG51" s="175"/>
      <c r="DH51" s="175"/>
      <c r="DI51" s="175"/>
      <c r="DJ51" s="175"/>
      <c r="DK51" s="182"/>
      <c r="DM51" s="2"/>
      <c r="DN51" s="37" t="s">
        <v>3328</v>
      </c>
      <c r="DO51" s="37" t="s">
        <v>3328</v>
      </c>
      <c r="DP51" s="37" t="s">
        <v>3212</v>
      </c>
      <c r="DQ51" s="37" t="s">
        <v>3327</v>
      </c>
      <c r="DR51" s="37" t="s">
        <v>356</v>
      </c>
      <c r="DS51" s="22"/>
      <c r="DT51" s="6"/>
      <c r="DZ51" s="48"/>
      <c r="ED51" s="50"/>
      <c r="EE51" s="50"/>
      <c r="EF51" s="50"/>
      <c r="EG51" s="438"/>
      <c r="EH51" s="282" t="s">
        <v>3546</v>
      </c>
      <c r="EI51" s="364"/>
      <c r="EJ51" s="6" t="str">
        <f>AQ68</f>
        <v/>
      </c>
      <c r="EK51" s="282" t="s">
        <v>4100</v>
      </c>
      <c r="EL51" s="426"/>
      <c r="EM51" s="593" t="str">
        <f>AS68</f>
        <v/>
      </c>
      <c r="EN51" s="494" t="s">
        <v>2785</v>
      </c>
      <c r="EO51" s="6" t="str">
        <f>AU68</f>
        <v/>
      </c>
      <c r="EP51" s="337"/>
      <c r="EQ51" s="50"/>
      <c r="ER51" s="50"/>
      <c r="ET51" s="97"/>
      <c r="EV51" s="80" t="s">
        <v>2827</v>
      </c>
      <c r="EW51" s="107" t="s">
        <v>3603</v>
      </c>
      <c r="EX51" s="1" t="s">
        <v>3604</v>
      </c>
      <c r="EY51" s="107" t="s">
        <v>3606</v>
      </c>
      <c r="EZ51" s="1" t="s">
        <v>3607</v>
      </c>
      <c r="FA51" s="107" t="s">
        <v>3238</v>
      </c>
      <c r="FB51" s="107" t="s">
        <v>2863</v>
      </c>
      <c r="FC51" s="95" t="s">
        <v>2828</v>
      </c>
      <c r="FD51" s="128"/>
      <c r="FE51" s="128"/>
      <c r="FF51" s="128"/>
      <c r="FH51" s="97"/>
      <c r="FK51" s="135"/>
      <c r="FN51" s="3"/>
      <c r="FO51" s="550"/>
      <c r="FP51" s="551" t="s">
        <v>4019</v>
      </c>
      <c r="FQ51" s="505"/>
      <c r="FR51" s="550" t="s">
        <v>18</v>
      </c>
      <c r="FS51" s="550"/>
      <c r="FT51" s="3"/>
      <c r="FY51" s="2"/>
      <c r="FZ51" s="37" t="s">
        <v>3324</v>
      </c>
      <c r="GA51" s="37" t="s">
        <v>3324</v>
      </c>
      <c r="GB51" s="37" t="s">
        <v>350</v>
      </c>
      <c r="GC51" s="37" t="s">
        <v>3792</v>
      </c>
      <c r="GD51" s="37" t="s">
        <v>353</v>
      </c>
      <c r="GF51" s="22"/>
      <c r="GL51" s="48"/>
      <c r="GV51" s="128"/>
      <c r="GW51" s="4"/>
      <c r="GX51" s="37" t="s">
        <v>380</v>
      </c>
      <c r="GY51" s="37" t="s">
        <v>380</v>
      </c>
      <c r="GZ51" s="37" t="s">
        <v>381</v>
      </c>
      <c r="HA51" s="37" t="s">
        <v>380</v>
      </c>
      <c r="HB51" s="37" t="s">
        <v>378</v>
      </c>
      <c r="HC51" s="37"/>
      <c r="HJ51" s="48"/>
      <c r="HK51" s="170"/>
      <c r="HM51" s="1" t="s">
        <v>3793</v>
      </c>
      <c r="IB51" s="170"/>
      <c r="IC51" s="405"/>
      <c r="ID51" s="527" t="s">
        <v>2409</v>
      </c>
      <c r="IE51" s="528" t="s">
        <v>2409</v>
      </c>
      <c r="IF51" s="37" t="s">
        <v>3794</v>
      </c>
      <c r="IG51" s="37"/>
      <c r="IH51" s="37"/>
      <c r="II51" s="1"/>
      <c r="IJ51" s="1"/>
      <c r="IK51" s="1"/>
      <c r="IL51" s="1"/>
      <c r="IM51" s="405"/>
      <c r="IN51" s="178"/>
      <c r="IO51" s="1"/>
      <c r="IP51" s="1" t="s">
        <v>3771</v>
      </c>
      <c r="IQ51" s="205">
        <f>IF(IQ50&lt;10,0,2)</f>
        <v>0</v>
      </c>
      <c r="IR51" s="1"/>
      <c r="IS51" s="1"/>
      <c r="IT51" s="65">
        <v>2</v>
      </c>
      <c r="IU51" s="141"/>
      <c r="IV51" s="65" t="str">
        <f>""</f>
        <v/>
      </c>
      <c r="IW51" s="65">
        <v>0</v>
      </c>
      <c r="IX51" s="1"/>
      <c r="IY51" s="1"/>
      <c r="IZ51" s="1"/>
      <c r="JA51" s="1"/>
      <c r="JB51" s="1"/>
      <c r="JC51" s="178"/>
      <c r="JD51" s="135"/>
    </row>
    <row r="52" spans="6:264" ht="15.75">
      <c r="I52" s="22"/>
      <c r="J52" s="156" t="s">
        <v>158</v>
      </c>
      <c r="K52" s="156" t="s">
        <v>158</v>
      </c>
      <c r="L52" s="22">
        <v>11</v>
      </c>
      <c r="M52" s="22">
        <v>18</v>
      </c>
      <c r="N52" s="22">
        <v>10.9</v>
      </c>
      <c r="O52" s="22">
        <v>31</v>
      </c>
      <c r="P52" s="22">
        <v>31</v>
      </c>
      <c r="Q52" s="22">
        <v>45</v>
      </c>
      <c r="R52" s="22" t="s">
        <v>159</v>
      </c>
      <c r="S52" s="22" t="s">
        <v>160</v>
      </c>
      <c r="V52" s="4"/>
      <c r="X52" s="168" t="s">
        <v>2849</v>
      </c>
      <c r="Y52" s="364" t="str">
        <f>Y21</f>
        <v/>
      </c>
      <c r="AB52" s="5"/>
      <c r="AI52" s="50"/>
      <c r="AJ52" s="50"/>
      <c r="AK52" s="50"/>
      <c r="AL52" s="50"/>
      <c r="AM52" s="50"/>
      <c r="AN52" s="50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97"/>
      <c r="BE52" s="69" t="s">
        <v>2822</v>
      </c>
      <c r="BF52" s="111">
        <v>1</v>
      </c>
      <c r="BG52" s="69" t="str">
        <f>BF27</f>
        <v>λυρ α</v>
      </c>
      <c r="BH52" s="69" t="str">
        <f>BF28</f>
        <v>μ 057</v>
      </c>
      <c r="BI52" s="69">
        <f>BF29</f>
        <v>0</v>
      </c>
      <c r="BJ52" s="1">
        <f>BF30</f>
        <v>2000</v>
      </c>
      <c r="BK52" s="69" t="s">
        <v>3566</v>
      </c>
      <c r="BN52" s="97"/>
      <c r="BO52" s="290"/>
      <c r="BR52" s="235"/>
      <c r="CJ52" s="123"/>
      <c r="CK52" s="134" t="s">
        <v>3033</v>
      </c>
      <c r="CL52" s="209">
        <f>IF(CL51=3,1,0)</f>
        <v>1</v>
      </c>
      <c r="CM52" s="127"/>
      <c r="CN52" s="134" t="s">
        <v>3033</v>
      </c>
      <c r="CO52" s="209">
        <f>IF(CO51=3,1,0)</f>
        <v>1</v>
      </c>
      <c r="CP52" s="127"/>
      <c r="CQ52" s="6"/>
      <c r="CR52" s="138"/>
      <c r="CS52" s="38" t="s">
        <v>3078</v>
      </c>
      <c r="CT52" s="127">
        <f>SIN(RADIANS(23.45))</f>
        <v>0.39794863130761038</v>
      </c>
      <c r="CW52" s="170"/>
      <c r="CY52" s="108" t="s">
        <v>2794</v>
      </c>
      <c r="CZ52" s="65">
        <f>CZ15</f>
        <v>0</v>
      </c>
      <c r="DC52" s="182"/>
      <c r="DD52" s="402"/>
      <c r="DE52" s="402" t="s">
        <v>2935</v>
      </c>
      <c r="DF52" s="195">
        <f>IF(DF51&lt;10,0,DF51)</f>
        <v>0</v>
      </c>
      <c r="DG52" s="403" t="s">
        <v>2999</v>
      </c>
      <c r="DH52" s="402"/>
      <c r="DI52" s="402"/>
      <c r="DJ52" s="402"/>
      <c r="DK52" s="182"/>
      <c r="DM52" s="2"/>
      <c r="DN52" s="37" t="s">
        <v>3329</v>
      </c>
      <c r="DO52" s="37" t="s">
        <v>3329</v>
      </c>
      <c r="DP52" s="37" t="s">
        <v>3212</v>
      </c>
      <c r="DQ52" s="37" t="s">
        <v>3327</v>
      </c>
      <c r="DR52" s="37" t="s">
        <v>356</v>
      </c>
      <c r="DS52" s="22"/>
      <c r="DT52" s="6"/>
      <c r="DZ52" s="48"/>
      <c r="ED52" s="50"/>
      <c r="EE52" s="50"/>
      <c r="EF52" s="50"/>
      <c r="EG52" s="438"/>
      <c r="EH52" s="366" t="s">
        <v>4072</v>
      </c>
      <c r="EI52" s="364"/>
      <c r="EJ52" s="6" t="str">
        <f>AQ69</f>
        <v/>
      </c>
      <c r="EK52" s="495" t="str">
        <f>AR69</f>
        <v/>
      </c>
      <c r="EL52" s="57"/>
      <c r="EM52" s="364"/>
      <c r="EN52" s="494" t="s">
        <v>4078</v>
      </c>
      <c r="EO52" s="6" t="str">
        <f>AU69</f>
        <v/>
      </c>
      <c r="EP52" s="337"/>
      <c r="EQ52" s="50"/>
      <c r="ER52" s="50"/>
      <c r="ET52" s="97"/>
      <c r="EU52" s="69" t="s">
        <v>2822</v>
      </c>
      <c r="EV52" s="111">
        <v>1</v>
      </c>
      <c r="EW52" s="69">
        <f>EV27</f>
        <v>0</v>
      </c>
      <c r="EX52" s="69">
        <f>EW27</f>
        <v>0</v>
      </c>
      <c r="EY52" s="69">
        <f>EV28</f>
        <v>0</v>
      </c>
      <c r="EZ52" s="69">
        <f>EW28</f>
        <v>0</v>
      </c>
      <c r="FA52" s="69">
        <f>EV29</f>
        <v>0</v>
      </c>
      <c r="FB52" s="69">
        <f>EV30</f>
        <v>2018</v>
      </c>
      <c r="FC52" s="69" t="s">
        <v>3566</v>
      </c>
      <c r="FD52" s="128"/>
      <c r="FE52" s="128"/>
      <c r="FF52" s="128"/>
      <c r="FH52" s="97"/>
      <c r="FK52" s="135"/>
      <c r="FN52" s="3"/>
      <c r="FO52" s="550" t="s">
        <v>3795</v>
      </c>
      <c r="FP52" s="550"/>
      <c r="FQ52" s="552">
        <f>EV61</f>
        <v>0</v>
      </c>
      <c r="FR52" s="553">
        <f>EV62</f>
        <v>0</v>
      </c>
      <c r="FS52" s="550"/>
      <c r="FT52" s="3"/>
      <c r="FY52" s="2"/>
      <c r="FZ52" s="37" t="s">
        <v>350</v>
      </c>
      <c r="GA52" s="37" t="s">
        <v>350</v>
      </c>
      <c r="GB52" s="37" t="s">
        <v>350</v>
      </c>
      <c r="GC52" s="37" t="s">
        <v>3792</v>
      </c>
      <c r="GD52" s="37" t="s">
        <v>353</v>
      </c>
      <c r="GF52" s="22"/>
      <c r="GL52" s="48"/>
      <c r="GV52" s="128"/>
      <c r="GW52" s="4"/>
      <c r="GX52" s="37" t="s">
        <v>336</v>
      </c>
      <c r="GY52" s="37" t="s">
        <v>336</v>
      </c>
      <c r="GZ52" s="37" t="s">
        <v>337</v>
      </c>
      <c r="HA52" s="37" t="s">
        <v>336</v>
      </c>
      <c r="HB52" s="37" t="s">
        <v>334</v>
      </c>
      <c r="HC52" s="37"/>
      <c r="HJ52" s="48"/>
      <c r="HK52" s="170"/>
      <c r="HM52" s="1" t="s">
        <v>3671</v>
      </c>
      <c r="HN52" s="1">
        <f>IF(HN19=HM52,6,0)</f>
        <v>0</v>
      </c>
      <c r="IB52" s="170"/>
      <c r="IC52" s="405"/>
      <c r="ID52" s="527" t="s">
        <v>1114</v>
      </c>
      <c r="IE52" s="528" t="s">
        <v>1114</v>
      </c>
      <c r="IF52" s="37" t="s">
        <v>3796</v>
      </c>
      <c r="IG52" s="37"/>
      <c r="IH52" s="37"/>
      <c r="II52" s="1"/>
      <c r="IJ52" s="145"/>
      <c r="IK52" s="6"/>
      <c r="IL52" s="1"/>
      <c r="IM52" s="405"/>
      <c r="IN52" s="178"/>
      <c r="IO52" s="1"/>
      <c r="IP52" s="1" t="s">
        <v>3775</v>
      </c>
      <c r="IQ52" s="205">
        <f>IF(IR47&lt;100,0,IR47)</f>
        <v>0</v>
      </c>
      <c r="IR52" s="1"/>
      <c r="IS52" s="1"/>
      <c r="IT52" s="65">
        <v>3</v>
      </c>
      <c r="IU52" s="141"/>
      <c r="IV52" s="65" t="str">
        <f>""</f>
        <v/>
      </c>
      <c r="IW52" s="65" t="str">
        <f>""</f>
        <v/>
      </c>
      <c r="IX52" s="406">
        <f>IR47</f>
        <v>0</v>
      </c>
      <c r="IY52" s="1"/>
      <c r="IZ52" s="1"/>
      <c r="JA52" s="1"/>
      <c r="JB52" s="1"/>
      <c r="JC52" s="178"/>
      <c r="JD52" s="135"/>
    </row>
    <row r="53" spans="6:264" ht="18.75">
      <c r="I53" s="22"/>
      <c r="J53" s="156" t="s">
        <v>161</v>
      </c>
      <c r="K53" s="156" t="s">
        <v>161</v>
      </c>
      <c r="L53" s="22">
        <v>8</v>
      </c>
      <c r="M53" s="22">
        <v>30</v>
      </c>
      <c r="N53" s="22">
        <v>15.9</v>
      </c>
      <c r="O53" s="22">
        <v>60</v>
      </c>
      <c r="P53" s="22">
        <v>43</v>
      </c>
      <c r="Q53" s="22">
        <v>5</v>
      </c>
      <c r="R53" s="22" t="s">
        <v>162</v>
      </c>
      <c r="S53" s="22" t="s">
        <v>163</v>
      </c>
      <c r="V53" s="4"/>
      <c r="X53" s="6" t="s">
        <v>3202</v>
      </c>
      <c r="Y53" s="6" t="str">
        <f>IF(Y52=Y51,"ωωωωωω",Y52)</f>
        <v>ωωωωωω</v>
      </c>
      <c r="AB53" s="5"/>
      <c r="AI53" s="50"/>
      <c r="AJ53" s="50"/>
      <c r="AK53" s="50"/>
      <c r="AL53" s="50"/>
      <c r="AM53" s="50"/>
      <c r="AN53" s="50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97"/>
      <c r="BE53" s="37" t="s">
        <v>2824</v>
      </c>
      <c r="BF53" s="112">
        <v>2</v>
      </c>
      <c r="BG53" s="37" t="str">
        <f>BF33</f>
        <v>ωωχ ε</v>
      </c>
      <c r="BH53" s="37" t="str">
        <f>BF34</f>
        <v>ωωχ ε</v>
      </c>
      <c r="BI53" s="37">
        <f>BF35</f>
        <v>0</v>
      </c>
      <c r="BJ53" s="1">
        <f>BF36</f>
        <v>2018</v>
      </c>
      <c r="BK53" s="37" t="s">
        <v>3567</v>
      </c>
      <c r="BN53" s="97"/>
      <c r="BO53" s="166"/>
      <c r="BR53" s="294" t="s">
        <v>3176</v>
      </c>
      <c r="BS53" s="245" t="s">
        <v>2794</v>
      </c>
      <c r="BZ53" s="294" t="s">
        <v>3176</v>
      </c>
      <c r="CA53" s="302" t="s">
        <v>2794</v>
      </c>
      <c r="CJ53" s="123"/>
      <c r="CK53" s="38" t="s">
        <v>3038</v>
      </c>
      <c r="CL53" s="209">
        <f>CL52+CL46</f>
        <v>2</v>
      </c>
      <c r="CM53" s="127"/>
      <c r="CN53" s="38" t="s">
        <v>3038</v>
      </c>
      <c r="CO53" s="209">
        <f>CO52+CO46</f>
        <v>2</v>
      </c>
      <c r="CP53" s="127"/>
      <c r="CQ53" s="6"/>
      <c r="CR53" s="138"/>
      <c r="CS53" s="38" t="s">
        <v>3079</v>
      </c>
      <c r="CT53" s="127">
        <f>CT52*CT51</f>
        <v>0</v>
      </c>
      <c r="CW53" s="170"/>
      <c r="CY53" s="108" t="s">
        <v>2823</v>
      </c>
      <c r="CZ53" s="65">
        <f>CZ18</f>
        <v>0</v>
      </c>
      <c r="DC53" s="182"/>
      <c r="DE53" s="1" t="s">
        <v>2933</v>
      </c>
      <c r="DF53" s="404">
        <f>IF(DF52&lt;100,DF52,0)</f>
        <v>0</v>
      </c>
      <c r="DG53" s="1" t="s">
        <v>2931</v>
      </c>
      <c r="DH53" s="405">
        <f t="shared" ref="DH53:DH61" si="2">IF(DF54=0,DF53,0)</f>
        <v>0</v>
      </c>
      <c r="DI53" s="1" t="s">
        <v>2936</v>
      </c>
      <c r="DJ53" s="170">
        <f>IF(DH53&gt;0,90,0)</f>
        <v>0</v>
      </c>
      <c r="DK53" s="182"/>
      <c r="DM53" s="2"/>
      <c r="DN53" s="37" t="s">
        <v>3330</v>
      </c>
      <c r="DO53" s="37" t="s">
        <v>3330</v>
      </c>
      <c r="DP53" s="37" t="s">
        <v>3212</v>
      </c>
      <c r="DQ53" s="37" t="s">
        <v>3327</v>
      </c>
      <c r="DR53" s="37" t="s">
        <v>356</v>
      </c>
      <c r="DS53" s="22"/>
      <c r="DT53" s="6"/>
      <c r="DZ53" s="48"/>
      <c r="ED53" s="50"/>
      <c r="EE53" s="50"/>
      <c r="EF53" s="50"/>
      <c r="EG53" s="438"/>
      <c r="EH53" s="366" t="s">
        <v>4073</v>
      </c>
      <c r="EI53" s="364"/>
      <c r="EJ53" s="591" t="str">
        <f>AQ70</f>
        <v/>
      </c>
      <c r="EK53" s="194" t="s">
        <v>4099</v>
      </c>
      <c r="EL53" s="297"/>
      <c r="EM53" s="499" t="str">
        <f>AS70</f>
        <v/>
      </c>
      <c r="EN53" s="494" t="s">
        <v>2789</v>
      </c>
      <c r="EO53" s="591" t="str">
        <f>AU70</f>
        <v/>
      </c>
      <c r="EP53" s="337"/>
      <c r="EQ53" s="50"/>
      <c r="ER53" s="50"/>
      <c r="ET53" s="97"/>
      <c r="EU53" s="37" t="s">
        <v>2824</v>
      </c>
      <c r="EV53" s="112">
        <v>2</v>
      </c>
      <c r="EW53" s="37">
        <f>EV33</f>
        <v>0</v>
      </c>
      <c r="EX53" s="37">
        <f>EW33</f>
        <v>0</v>
      </c>
      <c r="EY53" s="37">
        <f>EV34</f>
        <v>0</v>
      </c>
      <c r="EZ53" s="37">
        <f>EW34</f>
        <v>0</v>
      </c>
      <c r="FA53" s="37">
        <f>EV35</f>
        <v>0</v>
      </c>
      <c r="FB53" s="37">
        <f>EV36</f>
        <v>2000</v>
      </c>
      <c r="FC53" s="37" t="s">
        <v>3567</v>
      </c>
      <c r="FD53" s="128"/>
      <c r="FE53" s="128"/>
      <c r="FF53" s="128"/>
      <c r="FH53" s="97"/>
      <c r="FK53" s="135"/>
      <c r="FN53" s="3"/>
      <c r="FO53" s="550"/>
      <c r="FP53" s="550"/>
      <c r="FQ53" s="550"/>
      <c r="FR53" s="550" t="s">
        <v>2793</v>
      </c>
      <c r="FS53" s="550"/>
      <c r="FT53" s="3"/>
      <c r="FY53" s="2"/>
      <c r="FZ53" s="37" t="s">
        <v>3326</v>
      </c>
      <c r="GA53" s="37" t="s">
        <v>3326</v>
      </c>
      <c r="GB53" s="37" t="s">
        <v>3212</v>
      </c>
      <c r="GC53" s="37" t="s">
        <v>3797</v>
      </c>
      <c r="GD53" s="37" t="s">
        <v>358</v>
      </c>
      <c r="GF53" s="22"/>
      <c r="GL53" s="48"/>
      <c r="GV53" s="128"/>
      <c r="GW53" s="4"/>
      <c r="GX53" s="37" t="s">
        <v>539</v>
      </c>
      <c r="GY53" s="37" t="s">
        <v>539</v>
      </c>
      <c r="GZ53" s="37" t="s">
        <v>540</v>
      </c>
      <c r="HA53" s="37" t="s">
        <v>539</v>
      </c>
      <c r="HB53" s="37" t="s">
        <v>537</v>
      </c>
      <c r="HC53" s="37"/>
      <c r="HJ53" s="48"/>
      <c r="HK53" s="170"/>
      <c r="HM53" s="1" t="s">
        <v>3798</v>
      </c>
      <c r="HN53" s="1">
        <f>IF(HN19=HM53,6,0)</f>
        <v>0</v>
      </c>
      <c r="IB53" s="170"/>
      <c r="IC53" s="405"/>
      <c r="ID53" s="527" t="s">
        <v>1086</v>
      </c>
      <c r="IE53" s="528" t="s">
        <v>1086</v>
      </c>
      <c r="IF53" s="37" t="s">
        <v>3799</v>
      </c>
      <c r="IG53" s="37"/>
      <c r="IH53" s="37"/>
      <c r="II53" s="1"/>
      <c r="IJ53" s="6"/>
      <c r="IK53" s="6"/>
      <c r="IL53" s="1"/>
      <c r="IM53" s="405"/>
      <c r="IN53" s="178"/>
      <c r="IO53" s="1"/>
      <c r="IP53" s="1" t="s">
        <v>3777</v>
      </c>
      <c r="IQ53" s="548">
        <f>IQ49+IQ51+IQ52</f>
        <v>0</v>
      </c>
      <c r="IR53" s="1"/>
      <c r="IS53" s="1"/>
      <c r="IT53" s="109">
        <f>IQ47</f>
        <v>0</v>
      </c>
      <c r="IU53" s="141" t="s">
        <v>2069</v>
      </c>
      <c r="IV53" s="65" t="str">
        <f>LOOKUP(IT48,(IT49:IT52),(IV49:IV52))</f>
        <v>κ</v>
      </c>
      <c r="IW53" s="65" t="str">
        <f>LOOKUP(IT48,(IT49:IT52),(IW49:IW52))</f>
        <v>κ</v>
      </c>
      <c r="IX53" s="118" t="str">
        <f>CONCATENATE(IT53,IU53,IV53,IW53,IX52)</f>
        <v>0 κκ0</v>
      </c>
      <c r="IY53" s="1"/>
      <c r="IZ53" s="1"/>
      <c r="JA53" s="1"/>
      <c r="JB53" s="1"/>
      <c r="JC53" s="178"/>
      <c r="JD53" s="135"/>
    </row>
    <row r="54" spans="6:264">
      <c r="I54" s="22"/>
      <c r="J54" s="156" t="s">
        <v>164</v>
      </c>
      <c r="K54" s="156" t="s">
        <v>164</v>
      </c>
      <c r="L54" s="22">
        <v>9</v>
      </c>
      <c r="M54" s="22">
        <v>50</v>
      </c>
      <c r="N54" s="22">
        <v>59.4</v>
      </c>
      <c r="O54" s="22">
        <v>59</v>
      </c>
      <c r="P54" s="22">
        <v>2</v>
      </c>
      <c r="Q54" s="22">
        <v>19</v>
      </c>
      <c r="R54" s="22" t="s">
        <v>165</v>
      </c>
      <c r="S54" s="22" t="s">
        <v>166</v>
      </c>
      <c r="V54" s="4"/>
      <c r="X54" s="128" t="s">
        <v>2838</v>
      </c>
      <c r="Y54" s="6" t="str">
        <f>LOOKUP(Y53,(J5:J917),(K5:K917))</f>
        <v>ωωωωωω</v>
      </c>
      <c r="AB54" s="5"/>
      <c r="AI54" s="50"/>
      <c r="AJ54" s="50"/>
      <c r="AK54" s="50"/>
      <c r="AL54" s="50"/>
      <c r="AM54" s="50"/>
      <c r="AN54" s="50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97"/>
      <c r="BE54" s="37" t="s">
        <v>2825</v>
      </c>
      <c r="BF54" s="112">
        <v>3</v>
      </c>
      <c r="BG54" s="37" t="str">
        <f>BF39</f>
        <v>ωωχ ε</v>
      </c>
      <c r="BH54" s="37" t="str">
        <f>BF40</f>
        <v>ωωχ ε</v>
      </c>
      <c r="BI54" s="37">
        <f>BF41</f>
        <v>0</v>
      </c>
      <c r="BJ54" s="1">
        <f>BF42</f>
        <v>2000</v>
      </c>
      <c r="BK54" s="37" t="s">
        <v>3568</v>
      </c>
      <c r="BN54" s="97"/>
      <c r="BO54" s="166"/>
      <c r="BR54" s="252" t="s">
        <v>3177</v>
      </c>
      <c r="BS54" s="123"/>
      <c r="BT54" s="123"/>
      <c r="BU54" s="123"/>
      <c r="BZ54" s="252" t="s">
        <v>3177</v>
      </c>
      <c r="CA54" s="123"/>
      <c r="CB54" s="123"/>
      <c r="CC54" s="123"/>
      <c r="CJ54" s="123"/>
      <c r="CK54" s="38" t="s">
        <v>3039</v>
      </c>
      <c r="CL54" s="207" t="str">
        <f>IF(CL53=0,"Βρέθηκαν διαφορετικά πρόσημα!!!","")</f>
        <v/>
      </c>
      <c r="CM54" s="127"/>
      <c r="CN54" s="38" t="s">
        <v>3039</v>
      </c>
      <c r="CO54" s="207" t="str">
        <f>IF(CO53=0,"Βρέθηκαν διαφορετικά πρόσημα!!!","")</f>
        <v/>
      </c>
      <c r="CP54" s="127"/>
      <c r="CQ54" s="6"/>
      <c r="CR54" s="138"/>
      <c r="CS54" s="38" t="s">
        <v>3080</v>
      </c>
      <c r="CT54" s="226">
        <f>DEGREES(ASIN(RADIANS(DEGREES(CT53))))</f>
        <v>0</v>
      </c>
      <c r="CW54" s="170"/>
      <c r="CY54" s="1" t="s">
        <v>2924</v>
      </c>
      <c r="CZ54" s="1">
        <f>CZ52+90</f>
        <v>90</v>
      </c>
      <c r="DC54" s="182"/>
      <c r="DE54" s="1" t="s">
        <v>2937</v>
      </c>
      <c r="DF54" s="404">
        <f>IF(DF52&lt;90,DF52,0)</f>
        <v>0</v>
      </c>
      <c r="DG54" s="1" t="s">
        <v>2931</v>
      </c>
      <c r="DH54" s="405">
        <f t="shared" si="2"/>
        <v>0</v>
      </c>
      <c r="DI54" s="1" t="s">
        <v>2938</v>
      </c>
      <c r="DJ54" s="170">
        <f>IF(DH54&gt;0,80,0)</f>
        <v>0</v>
      </c>
      <c r="DK54" s="182"/>
      <c r="DM54" s="2"/>
      <c r="DN54" s="37" t="s">
        <v>3213</v>
      </c>
      <c r="DO54" s="37" t="s">
        <v>3213</v>
      </c>
      <c r="DP54" s="37" t="s">
        <v>3212</v>
      </c>
      <c r="DQ54" s="37" t="s">
        <v>3327</v>
      </c>
      <c r="DR54" s="37" t="s">
        <v>356</v>
      </c>
      <c r="DS54" s="22"/>
      <c r="DT54" s="6"/>
      <c r="DZ54" s="48"/>
      <c r="ED54" s="50"/>
      <c r="EE54" s="50"/>
      <c r="EF54" s="50"/>
      <c r="EG54" s="438"/>
      <c r="EH54" s="194" t="s">
        <v>3557</v>
      </c>
      <c r="EI54" s="597"/>
      <c r="EJ54" s="592" t="str">
        <f>AQ71</f>
        <v/>
      </c>
      <c r="EK54" s="142"/>
      <c r="EL54" s="22"/>
      <c r="EM54" s="22"/>
      <c r="EN54" s="277" t="s">
        <v>2783</v>
      </c>
      <c r="EO54" s="592" t="str">
        <f>AU71</f>
        <v/>
      </c>
      <c r="EP54" s="337"/>
      <c r="EQ54" s="50"/>
      <c r="ER54" s="50"/>
      <c r="ET54" s="97"/>
      <c r="EU54" s="37" t="s">
        <v>2825</v>
      </c>
      <c r="EV54" s="112">
        <v>3</v>
      </c>
      <c r="EW54" s="37">
        <f>EV39</f>
        <v>0</v>
      </c>
      <c r="EX54" s="37">
        <f>EW39</f>
        <v>0</v>
      </c>
      <c r="EY54" s="37">
        <f>EV40</f>
        <v>0</v>
      </c>
      <c r="EZ54" s="37">
        <f>EW40</f>
        <v>0</v>
      </c>
      <c r="FA54" s="37">
        <f>EV41</f>
        <v>0</v>
      </c>
      <c r="FB54" s="37">
        <f>EV42</f>
        <v>2000</v>
      </c>
      <c r="FC54" s="37" t="s">
        <v>3568</v>
      </c>
      <c r="FD54" s="128"/>
      <c r="FE54" s="128"/>
      <c r="FF54" s="128"/>
      <c r="FH54" s="97"/>
      <c r="FK54" s="135"/>
      <c r="FN54" s="3"/>
      <c r="FO54" s="3"/>
      <c r="FP54" s="3"/>
      <c r="FQ54" s="3"/>
      <c r="FR54" s="3"/>
      <c r="FS54" s="3"/>
      <c r="FT54" s="3"/>
      <c r="FY54" s="2"/>
      <c r="FZ54" s="37" t="s">
        <v>3212</v>
      </c>
      <c r="GA54" s="37" t="s">
        <v>3212</v>
      </c>
      <c r="GB54" s="37" t="s">
        <v>3212</v>
      </c>
      <c r="GC54" s="37" t="s">
        <v>3797</v>
      </c>
      <c r="GD54" s="37" t="s">
        <v>358</v>
      </c>
      <c r="GF54" s="22"/>
      <c r="GL54" s="48"/>
      <c r="GV54" s="128"/>
      <c r="GW54" s="4"/>
      <c r="GX54" s="37" t="s">
        <v>2660</v>
      </c>
      <c r="GY54" s="37" t="s">
        <v>2660</v>
      </c>
      <c r="GZ54" s="37" t="s">
        <v>2661</v>
      </c>
      <c r="HA54" s="37" t="s">
        <v>2660</v>
      </c>
      <c r="HB54" s="37" t="s">
        <v>2658</v>
      </c>
      <c r="HC54" s="37"/>
      <c r="HJ54" s="48"/>
      <c r="HK54" s="170"/>
      <c r="HM54" s="1" t="s">
        <v>3801</v>
      </c>
      <c r="HN54" s="1">
        <f>IF(HN19=HM54,6,0)</f>
        <v>0</v>
      </c>
      <c r="IB54" s="170"/>
      <c r="IC54" s="405"/>
      <c r="ID54" s="527" t="s">
        <v>506</v>
      </c>
      <c r="IE54" s="528" t="s">
        <v>506</v>
      </c>
      <c r="IF54" s="37" t="s">
        <v>3802</v>
      </c>
      <c r="IG54" s="37"/>
      <c r="IH54" s="37"/>
      <c r="II54" s="1"/>
      <c r="IJ54" s="6"/>
      <c r="IK54" s="6" t="str">
        <f>IF(IK18=IL18,IL31,"")</f>
        <v/>
      </c>
      <c r="IL54" s="1"/>
      <c r="IM54" s="405"/>
      <c r="IN54" s="178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78"/>
      <c r="JD54" s="135"/>
    </row>
    <row r="55" spans="6:264">
      <c r="I55" s="22"/>
      <c r="J55" s="156" t="s">
        <v>167</v>
      </c>
      <c r="K55" s="156" t="s">
        <v>167</v>
      </c>
      <c r="L55" s="22">
        <v>11</v>
      </c>
      <c r="M55" s="22">
        <v>46</v>
      </c>
      <c r="N55" s="22">
        <v>3</v>
      </c>
      <c r="O55" s="22">
        <v>47</v>
      </c>
      <c r="P55" s="22">
        <v>46</v>
      </c>
      <c r="Q55" s="22">
        <v>46</v>
      </c>
      <c r="R55" s="22" t="s">
        <v>168</v>
      </c>
      <c r="S55" s="22" t="s">
        <v>169</v>
      </c>
      <c r="V55" s="4"/>
      <c r="X55" s="128" t="s">
        <v>2879</v>
      </c>
      <c r="Y55" s="129" t="str">
        <f>IF(Y54=Y53,Y54,"ωωωω")</f>
        <v>ωωωωωω</v>
      </c>
      <c r="AB55" s="5"/>
      <c r="AI55" s="50"/>
      <c r="AJ55" s="50"/>
      <c r="AK55" s="50"/>
      <c r="AL55" s="50"/>
      <c r="AM55" s="50"/>
      <c r="AN55" s="50"/>
      <c r="AO55" s="50"/>
      <c r="AP55" s="57"/>
      <c r="AQ55" s="57"/>
      <c r="AR55" s="57"/>
      <c r="AS55" s="57"/>
      <c r="AT55" s="57"/>
      <c r="AU55" s="57"/>
      <c r="AV55" s="50"/>
      <c r="AW55" s="50"/>
      <c r="AX55" s="50"/>
      <c r="AY55" s="50"/>
      <c r="AZ55" s="50"/>
      <c r="BA55" s="50"/>
      <c r="BB55" s="50"/>
      <c r="BC55" s="50"/>
      <c r="BD55" s="97"/>
      <c r="BE55" s="37" t="s">
        <v>2826</v>
      </c>
      <c r="BF55" s="112">
        <v>4</v>
      </c>
      <c r="BG55" s="37" t="str">
        <f>BF45</f>
        <v>αμε α</v>
      </c>
      <c r="BH55" s="37" t="str">
        <f>BF46</f>
        <v>αμι β</v>
      </c>
      <c r="BI55" s="37" t="str">
        <f>BF47</f>
        <v>ωρίων</v>
      </c>
      <c r="BJ55" s="1">
        <f>BF48</f>
        <v>2000</v>
      </c>
      <c r="BK55" s="37" t="s">
        <v>3569</v>
      </c>
      <c r="BN55" s="97"/>
      <c r="BO55" s="166"/>
      <c r="BS55" s="253">
        <f>CO79</f>
        <v>6</v>
      </c>
      <c r="CA55" s="253">
        <f>CO147</f>
        <v>6</v>
      </c>
      <c r="CJ55" s="123"/>
      <c r="CK55" s="133" t="s">
        <v>2857</v>
      </c>
      <c r="CL55" s="128"/>
      <c r="CM55" s="127"/>
      <c r="CN55" s="133" t="s">
        <v>2857</v>
      </c>
      <c r="CO55" s="128"/>
      <c r="CP55" s="127"/>
      <c r="CQ55" s="6"/>
      <c r="CR55" s="138"/>
      <c r="CS55" s="38" t="s">
        <v>3081</v>
      </c>
      <c r="CT55" s="143">
        <f>CT35+CT54</f>
        <v>0</v>
      </c>
      <c r="CW55" s="170"/>
      <c r="CY55" s="1" t="s">
        <v>2925</v>
      </c>
      <c r="CZ55" s="1">
        <f>CZ53+90</f>
        <v>90</v>
      </c>
      <c r="DC55" s="182"/>
      <c r="DE55" s="1" t="s">
        <v>2939</v>
      </c>
      <c r="DF55" s="404">
        <f>IF(DF52&lt;80,DF52,0)</f>
        <v>0</v>
      </c>
      <c r="DG55" s="1" t="s">
        <v>2931</v>
      </c>
      <c r="DH55" s="405">
        <f t="shared" si="2"/>
        <v>0</v>
      </c>
      <c r="DI55" s="1" t="s">
        <v>2940</v>
      </c>
      <c r="DJ55" s="170">
        <f>IF(DH55&gt;0,70,0)</f>
        <v>0</v>
      </c>
      <c r="DK55" s="182"/>
      <c r="DM55" s="2"/>
      <c r="DN55" s="37" t="s">
        <v>3331</v>
      </c>
      <c r="DO55" s="37" t="s">
        <v>3331</v>
      </c>
      <c r="DP55" s="37" t="s">
        <v>378</v>
      </c>
      <c r="DQ55" s="37" t="s">
        <v>3332</v>
      </c>
      <c r="DR55" s="37" t="s">
        <v>379</v>
      </c>
      <c r="DS55" s="22"/>
      <c r="DT55" s="6"/>
      <c r="DZ55" s="48"/>
      <c r="ED55" s="50"/>
      <c r="EE55" s="50"/>
      <c r="EF55" s="50"/>
      <c r="EG55" s="438"/>
      <c r="EH55" s="282" t="str">
        <f>AP72</f>
        <v/>
      </c>
      <c r="EI55" s="426"/>
      <c r="EJ55" s="426"/>
      <c r="EK55" s="500" t="s">
        <v>2794</v>
      </c>
      <c r="EL55" s="598"/>
      <c r="EM55" s="598"/>
      <c r="EN55" s="282" t="str">
        <f>AT72</f>
        <v/>
      </c>
      <c r="EO55" s="279"/>
      <c r="EP55" s="337"/>
      <c r="EQ55" s="50"/>
      <c r="ER55" s="50"/>
      <c r="ET55" s="97"/>
      <c r="EU55" s="37" t="s">
        <v>2826</v>
      </c>
      <c r="EV55" s="112">
        <v>4</v>
      </c>
      <c r="EW55" s="37" t="str">
        <f>EV45</f>
        <v>alfa</v>
      </c>
      <c r="EX55" s="37" t="str">
        <f>EW45</f>
        <v>lyr</v>
      </c>
      <c r="EY55" s="37" t="str">
        <f>EV46</f>
        <v>m</v>
      </c>
      <c r="EZ55" s="37">
        <f>EW46</f>
        <v>13</v>
      </c>
      <c r="FA55" s="37" t="str">
        <f>EV47</f>
        <v>Orion</v>
      </c>
      <c r="FB55" s="37">
        <f>EV48</f>
        <v>2000</v>
      </c>
      <c r="FC55" s="37" t="s">
        <v>3569</v>
      </c>
      <c r="FD55" s="128"/>
      <c r="FE55" s="128"/>
      <c r="FF55" s="128"/>
      <c r="FH55" s="97"/>
      <c r="FK55" s="135"/>
      <c r="FN55" s="3"/>
      <c r="FO55" s="3"/>
      <c r="FP55" s="3"/>
      <c r="FQ55" s="3"/>
      <c r="FR55" s="3"/>
      <c r="FS55" s="3"/>
      <c r="FT55" s="3"/>
      <c r="FY55" s="2"/>
      <c r="FZ55" s="37" t="s">
        <v>3328</v>
      </c>
      <c r="GA55" s="37" t="s">
        <v>3328</v>
      </c>
      <c r="GB55" s="37" t="s">
        <v>3212</v>
      </c>
      <c r="GC55" s="37" t="s">
        <v>3797</v>
      </c>
      <c r="GD55" s="37" t="s">
        <v>358</v>
      </c>
      <c r="GF55" s="22"/>
      <c r="GL55" s="48"/>
      <c r="GV55" s="128"/>
      <c r="GW55" s="4"/>
      <c r="GX55" s="37" t="s">
        <v>2408</v>
      </c>
      <c r="GY55" s="37" t="s">
        <v>2408</v>
      </c>
      <c r="GZ55" s="37" t="s">
        <v>2409</v>
      </c>
      <c r="HA55" s="37" t="s">
        <v>2408</v>
      </c>
      <c r="HB55" s="37" t="s">
        <v>2405</v>
      </c>
      <c r="HC55" s="37"/>
      <c r="HJ55" s="48"/>
      <c r="HK55" s="170"/>
      <c r="HM55" s="1" t="s">
        <v>3688</v>
      </c>
      <c r="HN55" s="170">
        <f>HN52+HN53+HN54</f>
        <v>0</v>
      </c>
      <c r="IB55" s="170"/>
      <c r="IC55" s="405"/>
      <c r="ID55" s="527" t="s">
        <v>3803</v>
      </c>
      <c r="IE55" s="528" t="s">
        <v>3803</v>
      </c>
      <c r="IF55" s="37" t="s">
        <v>3804</v>
      </c>
      <c r="IG55" s="37"/>
      <c r="IH55" s="37"/>
      <c r="II55" s="1"/>
      <c r="IJ55" s="6"/>
      <c r="IK55" s="6"/>
      <c r="IL55" s="1"/>
      <c r="IM55" s="405"/>
      <c r="IN55" s="178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78"/>
      <c r="JD55" s="135"/>
    </row>
    <row r="56" spans="6:264">
      <c r="I56" s="22"/>
      <c r="J56" s="156" t="s">
        <v>170</v>
      </c>
      <c r="K56" s="156" t="s">
        <v>170</v>
      </c>
      <c r="L56" s="22">
        <v>11</v>
      </c>
      <c r="M56" s="22">
        <v>9</v>
      </c>
      <c r="N56" s="22">
        <v>39.799999999999997</v>
      </c>
      <c r="O56" s="22">
        <v>44</v>
      </c>
      <c r="P56" s="22">
        <v>29</v>
      </c>
      <c r="Q56" s="22">
        <v>55</v>
      </c>
      <c r="R56" s="22" t="s">
        <v>171</v>
      </c>
      <c r="S56" s="22" t="s">
        <v>172</v>
      </c>
      <c r="V56" s="4"/>
      <c r="X56" s="128"/>
      <c r="Y56" s="6" t="s">
        <v>2767</v>
      </c>
      <c r="AB56" s="5"/>
      <c r="AI56" s="50"/>
      <c r="AJ56" s="50"/>
      <c r="AK56" s="50"/>
      <c r="AL56" s="50"/>
      <c r="AM56" s="50"/>
      <c r="AN56" s="51"/>
      <c r="AO56" s="51"/>
      <c r="AP56" s="64"/>
      <c r="AQ56" s="64"/>
      <c r="AR56" s="65"/>
      <c r="AS56" s="65"/>
      <c r="AT56" s="64"/>
      <c r="AU56" s="64"/>
      <c r="AV56" s="51"/>
      <c r="AW56" s="50"/>
      <c r="AX56" s="50"/>
      <c r="AY56" s="50"/>
      <c r="AZ56" s="50"/>
      <c r="BA56" s="50"/>
      <c r="BB56" s="50"/>
      <c r="BC56" s="50"/>
      <c r="BD56" s="97"/>
      <c r="BE56" s="37" t="s">
        <v>2829</v>
      </c>
      <c r="BF56" s="112">
        <v>5</v>
      </c>
      <c r="BG56" s="37"/>
      <c r="BH56" s="37"/>
      <c r="BI56" s="37"/>
      <c r="BK56" s="110" t="s">
        <v>2830</v>
      </c>
      <c r="BN56" s="97"/>
      <c r="BO56" s="166"/>
      <c r="BQ56" s="1" t="s">
        <v>3180</v>
      </c>
      <c r="BR56" s="235"/>
      <c r="BS56" s="296">
        <f>IF(BS55=6,1,0)</f>
        <v>1</v>
      </c>
      <c r="BY56" s="1" t="s">
        <v>3180</v>
      </c>
      <c r="BZ56" s="235"/>
      <c r="CA56" s="296">
        <f>IF(CA55=6,1,0)</f>
        <v>1</v>
      </c>
      <c r="CJ56" s="123"/>
      <c r="CK56" s="38" t="s">
        <v>2854</v>
      </c>
      <c r="CL56" s="128"/>
      <c r="CM56" s="127"/>
      <c r="CN56" s="38" t="s">
        <v>2854</v>
      </c>
      <c r="CO56" s="128"/>
      <c r="CP56" s="127"/>
      <c r="CQ56" s="6"/>
      <c r="CR56" s="138"/>
      <c r="CS56" s="133" t="s">
        <v>2831</v>
      </c>
      <c r="CT56" s="127"/>
      <c r="CW56" s="170"/>
      <c r="CY56" s="1" t="s">
        <v>2926</v>
      </c>
      <c r="CZ56" s="141">
        <f>CZ55-CZ54</f>
        <v>0</v>
      </c>
      <c r="DC56" s="182"/>
      <c r="DE56" s="1" t="s">
        <v>2941</v>
      </c>
      <c r="DF56" s="404">
        <f>IF(DF52&lt;70,DF52,0)</f>
        <v>0</v>
      </c>
      <c r="DG56" s="1" t="s">
        <v>2931</v>
      </c>
      <c r="DH56" s="405">
        <f t="shared" si="2"/>
        <v>0</v>
      </c>
      <c r="DI56" s="1" t="s">
        <v>2942</v>
      </c>
      <c r="DJ56" s="170">
        <f>IF(DH56&gt;0,60,0)</f>
        <v>0</v>
      </c>
      <c r="DK56" s="182"/>
      <c r="DM56" s="2"/>
      <c r="DN56" s="37" t="s">
        <v>378</v>
      </c>
      <c r="DO56" s="37" t="s">
        <v>378</v>
      </c>
      <c r="DP56" s="37" t="s">
        <v>378</v>
      </c>
      <c r="DQ56" s="37" t="s">
        <v>3332</v>
      </c>
      <c r="DR56" s="37" t="s">
        <v>379</v>
      </c>
      <c r="DS56" s="22"/>
      <c r="DT56" s="6"/>
      <c r="DZ56" s="48"/>
      <c r="ED56" s="50"/>
      <c r="EE56" s="50"/>
      <c r="EF56" s="50"/>
      <c r="EG56" s="438"/>
      <c r="EH56" s="194" t="str">
        <f>AP73</f>
        <v/>
      </c>
      <c r="EI56" s="297"/>
      <c r="EJ56" s="297"/>
      <c r="EK56" s="501" t="s">
        <v>2823</v>
      </c>
      <c r="EL56" s="598"/>
      <c r="EM56" s="598"/>
      <c r="EN56" s="194" t="str">
        <f>AT73</f>
        <v/>
      </c>
      <c r="EO56" s="277"/>
      <c r="EP56" s="337"/>
      <c r="EQ56" s="50"/>
      <c r="ER56" s="50"/>
      <c r="ET56" s="97"/>
      <c r="EU56" s="37" t="s">
        <v>2829</v>
      </c>
      <c r="EV56" s="112">
        <v>5</v>
      </c>
      <c r="EW56" s="37"/>
      <c r="EX56" s="37"/>
      <c r="EY56" s="37"/>
      <c r="EZ56" s="37"/>
      <c r="FA56" s="37"/>
      <c r="FB56" s="37"/>
      <c r="FC56" s="110" t="s">
        <v>2830</v>
      </c>
      <c r="FD56" s="132"/>
      <c r="FE56" s="132"/>
      <c r="FF56" s="132"/>
      <c r="FH56" s="97"/>
      <c r="FK56" s="135"/>
      <c r="FN56" s="492" t="s">
        <v>3805</v>
      </c>
      <c r="FO56" s="505"/>
      <c r="FP56" s="554" t="str">
        <f>GS20</f>
        <v/>
      </c>
      <c r="FQ56" s="505"/>
      <c r="FR56" s="505"/>
      <c r="FS56" s="505"/>
      <c r="FT56" s="3"/>
      <c r="FY56" s="2"/>
      <c r="FZ56" s="37" t="s">
        <v>3329</v>
      </c>
      <c r="GA56" s="37" t="s">
        <v>3329</v>
      </c>
      <c r="GB56" s="37" t="s">
        <v>3212</v>
      </c>
      <c r="GC56" s="37" t="s">
        <v>3797</v>
      </c>
      <c r="GD56" s="37" t="s">
        <v>358</v>
      </c>
      <c r="GF56" s="22"/>
      <c r="GL56" s="48"/>
      <c r="GV56" s="128"/>
      <c r="GW56" s="4"/>
      <c r="GX56" s="37" t="s">
        <v>1114</v>
      </c>
      <c r="GY56" s="37" t="s">
        <v>1114</v>
      </c>
      <c r="GZ56" s="37" t="s">
        <v>1114</v>
      </c>
      <c r="HA56" s="37" t="s">
        <v>1114</v>
      </c>
      <c r="HB56" s="37" t="s">
        <v>1112</v>
      </c>
      <c r="HC56" s="37"/>
      <c r="HJ56" s="48"/>
      <c r="HK56" s="170"/>
      <c r="IB56" s="170"/>
      <c r="IC56" s="405"/>
      <c r="ID56" s="527" t="s">
        <v>1187</v>
      </c>
      <c r="IE56" s="528" t="s">
        <v>1187</v>
      </c>
      <c r="IF56" s="37" t="s">
        <v>3806</v>
      </c>
      <c r="IG56" s="37"/>
      <c r="IH56" s="37"/>
      <c r="II56" s="1"/>
      <c r="IJ56" s="6"/>
      <c r="IK56" s="6"/>
      <c r="IL56" s="1"/>
      <c r="IM56" s="405"/>
      <c r="IN56" s="178"/>
      <c r="IO56" s="1"/>
      <c r="IP56" s="1"/>
      <c r="IQ56" s="1"/>
      <c r="IR56" s="1"/>
      <c r="IS56" s="1"/>
      <c r="IT56" s="1"/>
      <c r="IU56" s="1"/>
      <c r="IV56" s="1"/>
      <c r="IW56" s="1"/>
      <c r="IX56" s="1"/>
      <c r="IY56" s="1"/>
      <c r="IZ56" s="1"/>
      <c r="JA56" s="1"/>
      <c r="JB56" s="1"/>
      <c r="JC56" s="178"/>
      <c r="JD56" s="135"/>
    </row>
    <row r="57" spans="6:264">
      <c r="I57" s="24" t="s">
        <v>173</v>
      </c>
      <c r="J57" s="157" t="s">
        <v>174</v>
      </c>
      <c r="K57" s="157" t="s">
        <v>174</v>
      </c>
      <c r="L57" s="24" t="s">
        <v>39</v>
      </c>
      <c r="M57" s="24" t="s">
        <v>175</v>
      </c>
      <c r="N57" s="24" t="s">
        <v>112</v>
      </c>
      <c r="O57" s="24" t="s">
        <v>40</v>
      </c>
      <c r="P57" s="24" t="s">
        <v>176</v>
      </c>
      <c r="Q57" s="24" t="s">
        <v>177</v>
      </c>
      <c r="R57" s="24" t="s">
        <v>178</v>
      </c>
      <c r="S57" s="27" t="s">
        <v>176</v>
      </c>
      <c r="V57" s="4"/>
      <c r="X57" s="128" t="s">
        <v>2883</v>
      </c>
      <c r="Y57" s="6">
        <f>IF(Y55=Y56,1,0)</f>
        <v>0</v>
      </c>
      <c r="AB57" s="5"/>
      <c r="AC57" s="149"/>
      <c r="AI57" s="50"/>
      <c r="AJ57" s="50"/>
      <c r="AK57" s="50"/>
      <c r="AL57" s="50"/>
      <c r="AM57" s="50"/>
      <c r="AN57" s="51"/>
      <c r="AO57" s="51"/>
      <c r="AP57" s="64"/>
      <c r="AQ57" s="64"/>
      <c r="AR57" s="65"/>
      <c r="AS57" s="65"/>
      <c r="AT57" s="64"/>
      <c r="AU57" s="64"/>
      <c r="AV57" s="51"/>
      <c r="AW57" s="50"/>
      <c r="AX57" s="50"/>
      <c r="AY57" s="50"/>
      <c r="AZ57" s="50"/>
      <c r="BA57" s="50"/>
      <c r="BB57" s="50"/>
      <c r="BC57" s="50"/>
      <c r="BD57" s="97"/>
      <c r="BE57" s="37"/>
      <c r="BF57" s="37"/>
      <c r="BG57" s="37"/>
      <c r="BH57" s="37"/>
      <c r="BI57" s="37"/>
      <c r="BJ57" s="127"/>
      <c r="BN57" s="97"/>
      <c r="BO57" s="166"/>
      <c r="BR57" s="257" t="s">
        <v>3178</v>
      </c>
      <c r="BS57" s="205"/>
      <c r="BT57" s="205"/>
      <c r="BU57" s="205"/>
      <c r="BZ57" s="303" t="s">
        <v>3184</v>
      </c>
      <c r="CA57" s="135"/>
      <c r="CB57" s="135"/>
      <c r="CC57" s="135"/>
      <c r="CJ57" s="123"/>
      <c r="CK57" s="38" t="s">
        <v>3040</v>
      </c>
      <c r="CL57" s="65">
        <f>CL25</f>
        <v>0</v>
      </c>
      <c r="CM57" s="127"/>
      <c r="CN57" s="38" t="s">
        <v>3040</v>
      </c>
      <c r="CO57" s="65">
        <f>CO25</f>
        <v>0</v>
      </c>
      <c r="CP57" s="127"/>
      <c r="CQ57" s="6"/>
      <c r="CR57" s="138"/>
      <c r="CS57" s="229" t="s">
        <v>3087</v>
      </c>
      <c r="CT57" s="118">
        <f>CT44</f>
        <v>0</v>
      </c>
      <c r="CW57" s="170"/>
      <c r="CY57" s="1" t="s">
        <v>2927</v>
      </c>
      <c r="CZ57" s="141">
        <f>CZ56/2.5</f>
        <v>0</v>
      </c>
      <c r="DC57" s="182"/>
      <c r="DE57" s="1" t="s">
        <v>2943</v>
      </c>
      <c r="DF57" s="404">
        <f>IF(DF52&lt;60,DF52,0)</f>
        <v>0</v>
      </c>
      <c r="DG57" s="1" t="s">
        <v>2931</v>
      </c>
      <c r="DH57" s="405">
        <f t="shared" si="2"/>
        <v>0</v>
      </c>
      <c r="DI57" s="1" t="s">
        <v>2944</v>
      </c>
      <c r="DJ57" s="170">
        <f>IF(DH57&gt;0,50,0)</f>
        <v>0</v>
      </c>
      <c r="DK57" s="182"/>
      <c r="DM57" s="2"/>
      <c r="DN57" s="37" t="s">
        <v>3333</v>
      </c>
      <c r="DO57" s="37" t="s">
        <v>3333</v>
      </c>
      <c r="DP57" s="37" t="s">
        <v>407</v>
      </c>
      <c r="DQ57" s="37" t="s">
        <v>3334</v>
      </c>
      <c r="DR57" s="37" t="s">
        <v>408</v>
      </c>
      <c r="DS57" s="22"/>
      <c r="DT57" s="6"/>
      <c r="DZ57" s="48"/>
      <c r="ED57" s="50"/>
      <c r="EE57" s="50"/>
      <c r="EF57" s="50"/>
      <c r="EG57" s="438"/>
      <c r="EH57" s="595" t="s">
        <v>4014</v>
      </c>
      <c r="EI57" s="426"/>
      <c r="EJ57" s="426"/>
      <c r="EK57" s="502" t="s">
        <v>3589</v>
      </c>
      <c r="EL57" s="426" t="s">
        <v>4013</v>
      </c>
      <c r="EM57" s="426"/>
      <c r="EN57" s="426"/>
      <c r="EO57" s="279"/>
      <c r="EP57" s="337"/>
      <c r="EQ57" s="50"/>
      <c r="ER57" s="50"/>
      <c r="ET57" s="97"/>
      <c r="EU57" s="37"/>
      <c r="EV57" s="37"/>
      <c r="EW57" s="37"/>
      <c r="EX57" s="37"/>
      <c r="EY57" s="37"/>
      <c r="EZ57" s="37"/>
      <c r="FA57" s="37"/>
      <c r="FB57" s="37"/>
      <c r="FH57" s="97"/>
      <c r="FK57" s="135"/>
      <c r="FN57" s="492" t="s">
        <v>3807</v>
      </c>
      <c r="FO57" s="505"/>
      <c r="FP57" s="505"/>
      <c r="FQ57" s="505"/>
      <c r="FR57" s="505"/>
      <c r="FS57" s="505"/>
      <c r="FT57" s="3"/>
      <c r="FY57" s="2"/>
      <c r="FZ57" s="37" t="s">
        <v>3330</v>
      </c>
      <c r="GA57" s="37" t="s">
        <v>3330</v>
      </c>
      <c r="GB57" s="37" t="s">
        <v>3212</v>
      </c>
      <c r="GC57" s="37" t="s">
        <v>3797</v>
      </c>
      <c r="GD57" s="37" t="s">
        <v>358</v>
      </c>
      <c r="GF57" s="22"/>
      <c r="GL57" s="48"/>
      <c r="GV57" s="128"/>
      <c r="GW57" s="4"/>
      <c r="GX57" s="37" t="s">
        <v>1163</v>
      </c>
      <c r="GY57" s="37" t="s">
        <v>1163</v>
      </c>
      <c r="GZ57" s="37" t="s">
        <v>3803</v>
      </c>
      <c r="HA57" s="37" t="s">
        <v>1163</v>
      </c>
      <c r="HB57" s="37" t="s">
        <v>1158</v>
      </c>
      <c r="HC57" s="37"/>
      <c r="HJ57" s="48"/>
      <c r="HK57" s="170"/>
      <c r="HM57" s="1" t="s">
        <v>3808</v>
      </c>
      <c r="IB57" s="170"/>
      <c r="IC57" s="405"/>
      <c r="ID57" s="527" t="s">
        <v>1179</v>
      </c>
      <c r="IE57" s="528" t="s">
        <v>1179</v>
      </c>
      <c r="IF57" s="37" t="s">
        <v>3809</v>
      </c>
      <c r="IG57" s="37"/>
      <c r="IH57" s="37"/>
      <c r="II57" s="1"/>
      <c r="IL57" s="1"/>
      <c r="IM57" s="405"/>
      <c r="IN57" s="178"/>
      <c r="IO57" s="1"/>
      <c r="IP57" s="108" t="s">
        <v>3790</v>
      </c>
      <c r="IQ57" s="1"/>
      <c r="IR57" s="1"/>
      <c r="IS57" s="1"/>
      <c r="IT57" s="1"/>
      <c r="IU57" s="1"/>
      <c r="IV57" s="1"/>
      <c r="IW57" s="1"/>
      <c r="IX57" s="1"/>
      <c r="IY57" s="1"/>
      <c r="IZ57" s="1"/>
      <c r="JA57" s="1"/>
      <c r="JB57" s="1"/>
      <c r="JC57" s="178"/>
      <c r="JD57" s="135"/>
    </row>
    <row r="58" spans="6:264" ht="18.75">
      <c r="I58" s="22"/>
      <c r="J58" s="156" t="s">
        <v>179</v>
      </c>
      <c r="K58" s="156" t="s">
        <v>179</v>
      </c>
      <c r="L58" s="22">
        <v>2</v>
      </c>
      <c r="M58" s="22">
        <v>31</v>
      </c>
      <c r="N58" s="22">
        <v>49.1</v>
      </c>
      <c r="O58" s="22">
        <v>89</v>
      </c>
      <c r="P58" s="22">
        <v>15</v>
      </c>
      <c r="Q58" s="22">
        <v>51</v>
      </c>
      <c r="R58" s="22" t="s">
        <v>180</v>
      </c>
      <c r="S58" s="22" t="s">
        <v>181</v>
      </c>
      <c r="V58" s="4"/>
      <c r="X58" s="128" t="s">
        <v>2884</v>
      </c>
      <c r="Y58" s="6">
        <f>IF(Y55=Y53,1,0)</f>
        <v>1</v>
      </c>
      <c r="AB58" s="5"/>
      <c r="AI58" s="50"/>
      <c r="AJ58" s="50"/>
      <c r="AK58" s="50"/>
      <c r="AL58" s="50"/>
      <c r="AM58" s="50"/>
      <c r="AN58" s="51"/>
      <c r="AO58" s="51"/>
      <c r="AP58" s="66" t="str">
        <f>BS139</f>
        <v/>
      </c>
      <c r="AQ58" s="66"/>
      <c r="AR58" s="64" t="s">
        <v>2773</v>
      </c>
      <c r="AS58" s="64" t="str">
        <f>CB139</f>
        <v/>
      </c>
      <c r="AT58" s="67"/>
      <c r="AU58" s="66"/>
      <c r="AV58" s="51"/>
      <c r="AW58" s="50"/>
      <c r="AX58" s="50"/>
      <c r="AY58" s="50"/>
      <c r="AZ58" s="50"/>
      <c r="BA58" s="50"/>
      <c r="BB58" s="50"/>
      <c r="BC58" s="50"/>
      <c r="BD58" s="97"/>
      <c r="BE58" s="107"/>
      <c r="BF58" s="107"/>
      <c r="BG58" s="107"/>
      <c r="BH58" s="107"/>
      <c r="BI58" s="107"/>
      <c r="BJ58" s="80"/>
      <c r="BN58" s="97"/>
      <c r="BO58" s="166"/>
      <c r="BR58" s="235"/>
      <c r="BS58" s="297">
        <f>CB84</f>
        <v>0</v>
      </c>
      <c r="BZ58" s="235"/>
      <c r="CA58" s="297">
        <f>CB103</f>
        <v>0</v>
      </c>
      <c r="CJ58" s="123"/>
      <c r="CK58" s="38" t="s">
        <v>3041</v>
      </c>
      <c r="CL58" s="65">
        <f>CL30</f>
        <v>0</v>
      </c>
      <c r="CM58" s="127"/>
      <c r="CN58" s="38" t="s">
        <v>3041</v>
      </c>
      <c r="CO58" s="65">
        <f>CO30</f>
        <v>0</v>
      </c>
      <c r="CP58" s="127"/>
      <c r="CQ58" s="6"/>
      <c r="CR58" s="138"/>
      <c r="CS58" s="229" t="s">
        <v>3088</v>
      </c>
      <c r="CT58" s="118">
        <f>CT55</f>
        <v>0</v>
      </c>
      <c r="CW58" s="170"/>
      <c r="CY58" s="1" t="s">
        <v>2928</v>
      </c>
      <c r="CZ58" s="1" t="str">
        <f>IF(CZ56&gt;0,"ΒΟΡΕΙΑ","ΝΟΤΙΑ")</f>
        <v>ΝΟΤΙΑ</v>
      </c>
      <c r="DC58" s="182"/>
      <c r="DE58" s="1" t="s">
        <v>2945</v>
      </c>
      <c r="DF58" s="404">
        <f>IF(DF52&lt;50,DF52,0)</f>
        <v>0</v>
      </c>
      <c r="DG58" s="1" t="s">
        <v>2931</v>
      </c>
      <c r="DH58" s="405">
        <f t="shared" si="2"/>
        <v>0</v>
      </c>
      <c r="DI58" s="1" t="s">
        <v>2946</v>
      </c>
      <c r="DJ58" s="170">
        <f>IF(DH58&gt;0,40,0)</f>
        <v>0</v>
      </c>
      <c r="DK58" s="182"/>
      <c r="DM58" s="2"/>
      <c r="DN58" s="37" t="s">
        <v>3335</v>
      </c>
      <c r="DO58" s="37" t="s">
        <v>3335</v>
      </c>
      <c r="DP58" s="37" t="s">
        <v>407</v>
      </c>
      <c r="DQ58" s="37" t="s">
        <v>3334</v>
      </c>
      <c r="DR58" s="37" t="s">
        <v>408</v>
      </c>
      <c r="DS58" s="22"/>
      <c r="DT58" s="6"/>
      <c r="DZ58" s="48"/>
      <c r="ED58" s="50"/>
      <c r="EE58" s="50"/>
      <c r="EF58" s="50"/>
      <c r="EG58" s="438" t="s">
        <v>2069</v>
      </c>
      <c r="EH58" s="596" t="s">
        <v>3590</v>
      </c>
      <c r="EI58" s="297"/>
      <c r="EJ58" s="57" t="str">
        <f>FP56</f>
        <v/>
      </c>
      <c r="EK58" s="57"/>
      <c r="EL58" s="57"/>
      <c r="EM58" s="57"/>
      <c r="EN58" s="57"/>
      <c r="EO58" s="364"/>
      <c r="EP58" s="337"/>
      <c r="EQ58" s="50"/>
      <c r="ER58" s="50"/>
      <c r="ET58" s="97"/>
      <c r="EU58" s="107"/>
      <c r="EV58" s="107"/>
      <c r="EW58" s="107"/>
      <c r="EX58" s="107"/>
      <c r="EY58" s="107"/>
      <c r="EZ58" s="107"/>
      <c r="FA58" s="107"/>
      <c r="FB58" s="107"/>
      <c r="FH58" s="97"/>
      <c r="FK58" s="135"/>
      <c r="FN58" s="3"/>
      <c r="FO58" s="512">
        <f>EV67</f>
        <v>0</v>
      </c>
      <c r="FP58" s="555" t="str">
        <f>GP20</f>
        <v/>
      </c>
      <c r="FQ58" s="556" t="str">
        <f>GQ20</f>
        <v/>
      </c>
      <c r="FR58" s="556"/>
      <c r="FS58" s="551" t="str">
        <f>GR20</f>
        <v/>
      </c>
      <c r="FT58" s="3"/>
      <c r="FY58" s="2"/>
      <c r="FZ58" s="37" t="s">
        <v>3213</v>
      </c>
      <c r="GA58" s="37" t="s">
        <v>3213</v>
      </c>
      <c r="GB58" s="37" t="s">
        <v>3212</v>
      </c>
      <c r="GC58" s="37" t="s">
        <v>3797</v>
      </c>
      <c r="GD58" s="37" t="s">
        <v>358</v>
      </c>
      <c r="GF58" s="22"/>
      <c r="GL58" s="48"/>
      <c r="GV58" s="128"/>
      <c r="GW58" s="4"/>
      <c r="GX58" s="37" t="s">
        <v>1085</v>
      </c>
      <c r="GY58" s="37" t="s">
        <v>1085</v>
      </c>
      <c r="GZ58" s="37" t="s">
        <v>1086</v>
      </c>
      <c r="HA58" s="37" t="s">
        <v>1085</v>
      </c>
      <c r="HB58" s="37" t="s">
        <v>3810</v>
      </c>
      <c r="HC58" s="37"/>
      <c r="HJ58" s="48"/>
      <c r="HK58" s="170"/>
      <c r="HM58" s="1" t="s">
        <v>3677</v>
      </c>
      <c r="HN58" s="1">
        <f>IF(HN19=HM58,7,0)</f>
        <v>0</v>
      </c>
      <c r="IB58" s="170"/>
      <c r="IC58" s="405"/>
      <c r="ID58" s="527" t="s">
        <v>1192</v>
      </c>
      <c r="IE58" s="528" t="s">
        <v>1192</v>
      </c>
      <c r="IF58" s="37" t="s">
        <v>3811</v>
      </c>
      <c r="IG58" s="37"/>
      <c r="IH58" s="37"/>
      <c r="II58" s="1"/>
      <c r="IJ58" s="1"/>
      <c r="IK58" s="1"/>
      <c r="IL58" s="1"/>
      <c r="IM58" s="405"/>
      <c r="IN58" s="178"/>
      <c r="IO58" s="1"/>
      <c r="IP58" s="1" t="s">
        <v>3741</v>
      </c>
      <c r="IQ58" s="1" t="b">
        <f>ISNUMBER(IQ27)</f>
        <v>1</v>
      </c>
      <c r="IR58" s="235" t="b">
        <v>0</v>
      </c>
      <c r="IS58" s="1"/>
      <c r="IT58" s="1"/>
      <c r="IU58" s="1"/>
      <c r="IV58" s="1"/>
      <c r="IW58" s="1"/>
      <c r="IX58" s="1"/>
      <c r="IY58" s="1"/>
      <c r="IZ58" s="1"/>
      <c r="JA58" s="1"/>
      <c r="JB58" s="1"/>
      <c r="JC58" s="178"/>
      <c r="JD58" s="135"/>
    </row>
    <row r="59" spans="6:264">
      <c r="I59" s="22"/>
      <c r="J59" s="156" t="s">
        <v>182</v>
      </c>
      <c r="K59" s="156" t="s">
        <v>182</v>
      </c>
      <c r="L59" s="22">
        <v>14</v>
      </c>
      <c r="M59" s="22">
        <v>50</v>
      </c>
      <c r="N59" s="22">
        <v>42.3</v>
      </c>
      <c r="O59" s="22">
        <v>74</v>
      </c>
      <c r="P59" s="22">
        <v>9</v>
      </c>
      <c r="Q59" s="22">
        <v>20</v>
      </c>
      <c r="R59" s="22" t="s">
        <v>183</v>
      </c>
      <c r="S59" s="22" t="s">
        <v>184</v>
      </c>
      <c r="V59" s="4"/>
      <c r="X59" s="128" t="s">
        <v>2859</v>
      </c>
      <c r="Y59" s="6">
        <f>Y57+Y58</f>
        <v>1</v>
      </c>
      <c r="AB59" s="5"/>
      <c r="AI59" s="50"/>
      <c r="AJ59" s="50"/>
      <c r="AK59" s="50"/>
      <c r="AL59" s="50"/>
      <c r="AM59" s="50"/>
      <c r="AN59" s="51"/>
      <c r="AO59" s="68"/>
      <c r="AP59" s="66" t="str">
        <f>BS140</f>
        <v/>
      </c>
      <c r="AQ59" s="66"/>
      <c r="AR59" s="66" t="s">
        <v>2810</v>
      </c>
      <c r="AS59" s="69" t="str">
        <f>CB140</f>
        <v/>
      </c>
      <c r="AT59" s="67"/>
      <c r="AU59" s="66"/>
      <c r="AV59" s="51"/>
      <c r="AW59" s="50"/>
      <c r="AX59" s="50"/>
      <c r="AY59" s="50"/>
      <c r="AZ59" s="50"/>
      <c r="BA59" s="50"/>
      <c r="BB59" s="50"/>
      <c r="BC59" s="50"/>
      <c r="BD59" s="97"/>
      <c r="BE59" s="128"/>
      <c r="BF59" s="128"/>
      <c r="BN59" s="97"/>
      <c r="BO59" s="166"/>
      <c r="BQ59" s="1" t="s">
        <v>3181</v>
      </c>
      <c r="BR59" s="235"/>
      <c r="BS59" s="106">
        <f>IF(BS58&gt;0,1,0)</f>
        <v>0</v>
      </c>
      <c r="BY59" s="1" t="s">
        <v>3181</v>
      </c>
      <c r="BZ59" s="235"/>
      <c r="CA59" s="106">
        <f>IF(CA58&gt;0,1,0)</f>
        <v>0</v>
      </c>
      <c r="CJ59" s="123"/>
      <c r="CK59" s="38" t="s">
        <v>2858</v>
      </c>
      <c r="CL59" s="65">
        <f>CL35</f>
        <v>0</v>
      </c>
      <c r="CM59" s="127"/>
      <c r="CN59" s="38" t="s">
        <v>2858</v>
      </c>
      <c r="CO59" s="65">
        <f>CO35</f>
        <v>0</v>
      </c>
      <c r="CP59" s="127"/>
      <c r="CQ59" s="6"/>
      <c r="CR59" s="138"/>
      <c r="CS59" s="38" t="s">
        <v>3082</v>
      </c>
      <c r="CT59" s="127"/>
      <c r="CW59" s="170"/>
      <c r="CY59" s="1" t="s">
        <v>2929</v>
      </c>
      <c r="CZ59" s="141" t="str">
        <f>IF(CZ56=0,"",CZ58)</f>
        <v/>
      </c>
      <c r="DC59" s="182"/>
      <c r="DE59" s="1" t="s">
        <v>2947</v>
      </c>
      <c r="DF59" s="404">
        <f>IF(DF52&lt;40,DF52,0)</f>
        <v>0</v>
      </c>
      <c r="DG59" s="1" t="s">
        <v>2931</v>
      </c>
      <c r="DH59" s="405">
        <f t="shared" si="2"/>
        <v>0</v>
      </c>
      <c r="DI59" s="1" t="s">
        <v>2948</v>
      </c>
      <c r="DJ59" s="170">
        <f>IF(DH59&gt;0,30,0)</f>
        <v>0</v>
      </c>
      <c r="DK59" s="182"/>
      <c r="DM59" s="2"/>
      <c r="DN59" s="37" t="s">
        <v>3336</v>
      </c>
      <c r="DO59" s="37" t="s">
        <v>3336</v>
      </c>
      <c r="DP59" s="37" t="s">
        <v>407</v>
      </c>
      <c r="DQ59" s="37" t="s">
        <v>3334</v>
      </c>
      <c r="DR59" s="37" t="s">
        <v>408</v>
      </c>
      <c r="DS59" s="22"/>
      <c r="DT59" s="6"/>
      <c r="DZ59" s="48"/>
      <c r="ED59" s="50"/>
      <c r="EE59" s="50"/>
      <c r="EF59" s="50"/>
      <c r="EG59" s="438"/>
      <c r="EH59" s="494"/>
      <c r="EI59" s="598"/>
      <c r="EJ59" s="594" t="str">
        <f>FP58</f>
        <v/>
      </c>
      <c r="EK59" s="57" t="str">
        <f>FQ58</f>
        <v/>
      </c>
      <c r="EL59" s="57"/>
      <c r="EN59" s="57" t="str">
        <f>FS58</f>
        <v/>
      </c>
      <c r="EO59" s="364"/>
      <c r="EP59" s="337"/>
      <c r="EQ59" s="50"/>
      <c r="ER59" s="50"/>
      <c r="ET59" s="97"/>
      <c r="EU59" s="128"/>
      <c r="EV59" s="128"/>
      <c r="FH59" s="97"/>
      <c r="FK59" s="135"/>
      <c r="FN59" s="3"/>
      <c r="FO59" s="550" t="s">
        <v>2793</v>
      </c>
      <c r="FP59" s="505"/>
      <c r="FQ59" s="505"/>
      <c r="FR59" s="505"/>
      <c r="FS59" s="505"/>
      <c r="FT59" s="3"/>
      <c r="FY59" s="2"/>
      <c r="FZ59" s="37" t="s">
        <v>3331</v>
      </c>
      <c r="GA59" s="37" t="s">
        <v>3331</v>
      </c>
      <c r="GB59" s="37" t="s">
        <v>378</v>
      </c>
      <c r="GC59" s="37" t="s">
        <v>3812</v>
      </c>
      <c r="GD59" s="37" t="s">
        <v>381</v>
      </c>
      <c r="GF59" s="22"/>
      <c r="GL59" s="48"/>
      <c r="GV59" s="128"/>
      <c r="GW59" s="4"/>
      <c r="GX59" s="37" t="s">
        <v>505</v>
      </c>
      <c r="GY59" s="37" t="s">
        <v>505</v>
      </c>
      <c r="GZ59" s="37" t="s">
        <v>506</v>
      </c>
      <c r="HA59" s="37" t="s">
        <v>505</v>
      </c>
      <c r="HB59" s="37" t="s">
        <v>503</v>
      </c>
      <c r="HC59" s="37"/>
      <c r="HJ59" s="48"/>
      <c r="HK59" s="170"/>
      <c r="HM59" s="1" t="s">
        <v>3813</v>
      </c>
      <c r="HN59" s="1">
        <f>IF(HN19=HM59,7,0)</f>
        <v>0</v>
      </c>
      <c r="IB59" s="170"/>
      <c r="IC59" s="405"/>
      <c r="ID59" s="527" t="s">
        <v>3814</v>
      </c>
      <c r="IE59" s="528" t="s">
        <v>3814</v>
      </c>
      <c r="IF59" s="37" t="s">
        <v>3815</v>
      </c>
      <c r="IG59" s="37"/>
      <c r="IH59" s="37"/>
      <c r="II59" s="1"/>
      <c r="IJ59" s="1"/>
      <c r="IK59" s="1"/>
      <c r="IL59" s="1"/>
      <c r="IM59" s="405"/>
      <c r="IN59" s="178"/>
      <c r="IO59" s="1"/>
      <c r="IP59" s="1" t="s">
        <v>3744</v>
      </c>
      <c r="IQ59" s="1">
        <f>IF(IQ58=IR58,0,IQ27)</f>
        <v>0</v>
      </c>
      <c r="IR59" s="1"/>
      <c r="IS59" s="1"/>
      <c r="IT59" s="1"/>
      <c r="IU59" s="1"/>
      <c r="IV59" s="1"/>
      <c r="IW59" s="1"/>
      <c r="IX59" s="1"/>
      <c r="IY59" s="1"/>
      <c r="IZ59" s="1"/>
      <c r="JA59" s="1"/>
      <c r="JB59" s="1"/>
      <c r="JC59" s="178"/>
      <c r="JD59" s="135"/>
    </row>
    <row r="60" spans="6:264">
      <c r="I60" s="22"/>
      <c r="J60" s="156" t="s">
        <v>185</v>
      </c>
      <c r="K60" s="156" t="s">
        <v>185</v>
      </c>
      <c r="L60" s="22">
        <v>15</v>
      </c>
      <c r="M60" s="22">
        <v>20</v>
      </c>
      <c r="N60" s="22">
        <v>43.7</v>
      </c>
      <c r="O60" s="22">
        <v>71</v>
      </c>
      <c r="P60" s="22">
        <v>50</v>
      </c>
      <c r="Q60" s="22">
        <v>2</v>
      </c>
      <c r="R60" s="22" t="s">
        <v>186</v>
      </c>
      <c r="S60" s="22" t="s">
        <v>187</v>
      </c>
      <c r="V60" s="4"/>
      <c r="X60" s="128"/>
      <c r="Y60" s="6" t="b">
        <v>0</v>
      </c>
      <c r="AB60" s="5"/>
      <c r="AI60" s="50"/>
      <c r="AJ60" s="50"/>
      <c r="AK60" s="50"/>
      <c r="AL60" s="50"/>
      <c r="AM60" s="50"/>
      <c r="AN60" s="51"/>
      <c r="AO60" s="68"/>
      <c r="AP60" s="70" t="str">
        <f>IF(BF24=2,AQ87,"Αδρανής Οθόνη")</f>
        <v>Αδρανής Οθόνη</v>
      </c>
      <c r="AQ60" s="71" t="s">
        <v>2794</v>
      </c>
      <c r="AR60" s="72" t="s">
        <v>3204</v>
      </c>
      <c r="AS60" s="73">
        <v>2018</v>
      </c>
      <c r="AT60" s="74" t="s">
        <v>2775</v>
      </c>
      <c r="AU60" s="72"/>
      <c r="AV60" s="75"/>
      <c r="AW60" s="50"/>
      <c r="AX60" s="50"/>
      <c r="AY60" s="50"/>
      <c r="AZ60" s="50"/>
      <c r="BA60" s="50"/>
      <c r="BB60" s="50"/>
      <c r="BC60" s="50"/>
      <c r="BD60" s="97"/>
      <c r="BE60" s="206" t="s">
        <v>4008</v>
      </c>
      <c r="BF60" s="126"/>
      <c r="BN60" s="97"/>
      <c r="BO60" s="166"/>
      <c r="BQ60" s="1" t="s">
        <v>3182</v>
      </c>
      <c r="BR60" s="235"/>
      <c r="BS60" s="141">
        <f>BS59+BS56</f>
        <v>1</v>
      </c>
      <c r="BY60" s="1" t="s">
        <v>3182</v>
      </c>
      <c r="BZ60" s="235"/>
      <c r="CA60" s="141">
        <f>CA59+CA56</f>
        <v>1</v>
      </c>
      <c r="CJ60" s="123"/>
      <c r="CK60" s="38"/>
      <c r="CL60" s="128"/>
      <c r="CM60" s="127"/>
      <c r="CN60" s="38"/>
      <c r="CO60" s="128"/>
      <c r="CP60" s="127"/>
      <c r="CQ60" s="6"/>
      <c r="CR60" s="138"/>
      <c r="CS60" s="38" t="s">
        <v>3083</v>
      </c>
      <c r="CT60" s="127"/>
      <c r="CW60" s="170"/>
      <c r="CX60" s="6"/>
      <c r="CY60" s="145"/>
      <c r="CZ60" s="6"/>
      <c r="DA60" s="6"/>
      <c r="DB60" s="6"/>
      <c r="DC60" s="182"/>
      <c r="DE60" s="1" t="s">
        <v>2949</v>
      </c>
      <c r="DF60" s="404">
        <f>IF(DF52&lt;30,DF52,0)</f>
        <v>0</v>
      </c>
      <c r="DG60" s="1" t="s">
        <v>2931</v>
      </c>
      <c r="DH60" s="405">
        <f t="shared" si="2"/>
        <v>0</v>
      </c>
      <c r="DI60" s="1" t="s">
        <v>2950</v>
      </c>
      <c r="DJ60" s="170">
        <f>IF(DH60&gt;0,20,0)</f>
        <v>0</v>
      </c>
      <c r="DK60" s="182"/>
      <c r="DM60" s="2"/>
      <c r="DN60" s="37" t="s">
        <v>3214</v>
      </c>
      <c r="DO60" s="37" t="s">
        <v>3214</v>
      </c>
      <c r="DP60" s="37" t="s">
        <v>407</v>
      </c>
      <c r="DQ60" s="37" t="s">
        <v>3334</v>
      </c>
      <c r="DR60" s="37" t="s">
        <v>408</v>
      </c>
      <c r="DS60" s="22"/>
      <c r="DT60" s="6"/>
      <c r="DZ60" s="48"/>
      <c r="ED60" s="50"/>
      <c r="EE60" s="50"/>
      <c r="EF60" s="50"/>
      <c r="EG60" s="438"/>
      <c r="EH60" s="53"/>
      <c r="EI60" s="342" t="s">
        <v>4015</v>
      </c>
      <c r="EJ60" s="327"/>
      <c r="EK60" s="327"/>
      <c r="EL60" s="327"/>
      <c r="EM60" s="327"/>
      <c r="EN60" s="327"/>
      <c r="EO60" s="589"/>
      <c r="EP60" s="337"/>
      <c r="EQ60" s="50"/>
      <c r="ER60" s="50"/>
      <c r="ET60" s="97"/>
      <c r="EU60" s="206" t="s">
        <v>3164</v>
      </c>
      <c r="EV60" s="126"/>
      <c r="FH60" s="97"/>
      <c r="FK60" s="135"/>
      <c r="FN60" s="3"/>
      <c r="FO60" s="3"/>
      <c r="FP60" s="3"/>
      <c r="FQ60" s="3"/>
      <c r="FR60" s="3"/>
      <c r="FS60" s="3"/>
      <c r="FT60" s="3"/>
      <c r="FY60" s="2"/>
      <c r="FZ60" s="37" t="s">
        <v>378</v>
      </c>
      <c r="GA60" s="37" t="s">
        <v>378</v>
      </c>
      <c r="GB60" s="37" t="s">
        <v>378</v>
      </c>
      <c r="GC60" s="37" t="s">
        <v>3812</v>
      </c>
      <c r="GD60" s="37" t="s">
        <v>381</v>
      </c>
      <c r="GF60" s="22"/>
      <c r="GL60" s="48"/>
      <c r="GV60" s="128"/>
      <c r="GW60" s="4"/>
      <c r="GX60" s="37" t="s">
        <v>1186</v>
      </c>
      <c r="GY60" s="37" t="s">
        <v>1186</v>
      </c>
      <c r="GZ60" s="37" t="s">
        <v>1187</v>
      </c>
      <c r="HA60" s="37" t="s">
        <v>1186</v>
      </c>
      <c r="HB60" s="37" t="s">
        <v>1184</v>
      </c>
      <c r="HC60" s="37"/>
      <c r="HJ60" s="48"/>
      <c r="HK60" s="170"/>
      <c r="HM60" s="1" t="s">
        <v>3817</v>
      </c>
      <c r="HN60" s="1">
        <f>IF(HN19=HM60,7,0)</f>
        <v>0</v>
      </c>
      <c r="IB60" s="170"/>
      <c r="IC60" s="405"/>
      <c r="ID60" s="527" t="s">
        <v>1533</v>
      </c>
      <c r="IE60" s="528" t="s">
        <v>1533</v>
      </c>
      <c r="IF60" s="37" t="s">
        <v>3818</v>
      </c>
      <c r="IG60" s="37"/>
      <c r="IH60" s="37"/>
      <c r="II60" s="1"/>
      <c r="IJ60" s="1"/>
      <c r="IK60" s="1"/>
      <c r="IL60" s="1"/>
      <c r="IM60" s="405"/>
      <c r="IN60" s="178"/>
      <c r="IO60" s="1"/>
      <c r="IP60" s="1"/>
      <c r="IQ60" s="1" t="s">
        <v>3634</v>
      </c>
      <c r="IR60" s="1" t="s">
        <v>3800</v>
      </c>
      <c r="IS60" s="1"/>
      <c r="IT60" s="1"/>
      <c r="IU60" s="1"/>
      <c r="IV60" s="1"/>
      <c r="IW60" s="1"/>
      <c r="IX60" s="1"/>
      <c r="IY60" s="1"/>
      <c r="IZ60" s="1"/>
      <c r="JA60" s="1"/>
      <c r="JB60" s="1"/>
      <c r="JC60" s="178"/>
      <c r="JD60" s="135"/>
    </row>
    <row r="61" spans="6:264">
      <c r="I61" s="22"/>
      <c r="J61" s="156" t="s">
        <v>188</v>
      </c>
      <c r="K61" s="156" t="s">
        <v>188</v>
      </c>
      <c r="L61" s="22">
        <v>17</v>
      </c>
      <c r="M61" s="22">
        <v>32</v>
      </c>
      <c r="N61" s="22">
        <v>13</v>
      </c>
      <c r="O61" s="22">
        <v>86</v>
      </c>
      <c r="P61" s="22">
        <v>35</v>
      </c>
      <c r="Q61" s="22">
        <v>11</v>
      </c>
      <c r="R61" s="22" t="s">
        <v>189</v>
      </c>
      <c r="S61" s="22" t="s">
        <v>190</v>
      </c>
      <c r="V61" s="4"/>
      <c r="X61" s="128"/>
      <c r="Y61" s="6" t="s">
        <v>2877</v>
      </c>
      <c r="AB61" s="5"/>
      <c r="AI61" s="50"/>
      <c r="AJ61" s="50"/>
      <c r="AK61" s="50"/>
      <c r="AL61" s="50"/>
      <c r="AM61" s="50"/>
      <c r="AN61" s="51"/>
      <c r="AO61" s="68"/>
      <c r="AP61" s="76" t="s">
        <v>3551</v>
      </c>
      <c r="AQ61" s="77"/>
      <c r="AR61" s="78" t="s">
        <v>3540</v>
      </c>
      <c r="AS61" s="35"/>
      <c r="AT61" s="76" t="s">
        <v>3525</v>
      </c>
      <c r="AU61" s="77"/>
      <c r="AV61" s="75"/>
      <c r="AW61" s="50"/>
      <c r="AX61" s="50"/>
      <c r="AY61" s="50"/>
      <c r="AZ61" s="50"/>
      <c r="BA61" s="50"/>
      <c r="BB61" s="50"/>
      <c r="BC61" s="50"/>
      <c r="BD61" s="97"/>
      <c r="BE61" s="38" t="s">
        <v>2832</v>
      </c>
      <c r="BF61" s="118" t="str">
        <f>LOOKUP(BF24,(BF52:BF57),(BG52:BG57))</f>
        <v>λυρ α</v>
      </c>
      <c r="BN61" s="97"/>
      <c r="BO61" s="166"/>
      <c r="BR61" s="136" t="s">
        <v>3173</v>
      </c>
      <c r="BS61" s="245" t="s">
        <v>2794</v>
      </c>
      <c r="BZ61" s="136" t="s">
        <v>3173</v>
      </c>
      <c r="CA61" s="302" t="s">
        <v>2794</v>
      </c>
      <c r="CJ61" s="123"/>
      <c r="CK61" s="38" t="s">
        <v>3042</v>
      </c>
      <c r="CL61" s="128">
        <f>CL59/60</f>
        <v>0</v>
      </c>
      <c r="CM61" s="127"/>
      <c r="CN61" s="38" t="s">
        <v>3042</v>
      </c>
      <c r="CO61" s="128">
        <f>CO59/60</f>
        <v>0</v>
      </c>
      <c r="CP61" s="127"/>
      <c r="CQ61" s="6"/>
      <c r="CR61" s="138"/>
      <c r="CS61" s="38" t="s">
        <v>3089</v>
      </c>
      <c r="CT61" s="127"/>
      <c r="CW61" s="170"/>
      <c r="CX61" s="6"/>
      <c r="CY61" s="145" t="s">
        <v>3142</v>
      </c>
      <c r="CZ61" s="6"/>
      <c r="DA61" s="6"/>
      <c r="DB61" s="6"/>
      <c r="DC61" s="182"/>
      <c r="DE61" s="1" t="s">
        <v>2951</v>
      </c>
      <c r="DF61" s="404">
        <f>IF(DF52&lt;20,DF52,0)</f>
        <v>0</v>
      </c>
      <c r="DG61" s="1" t="s">
        <v>2931</v>
      </c>
      <c r="DH61" s="405">
        <f t="shared" si="2"/>
        <v>0</v>
      </c>
      <c r="DI61" s="1" t="s">
        <v>2952</v>
      </c>
      <c r="DJ61" s="170">
        <f>IF(DH61&gt;0,10,0)</f>
        <v>0</v>
      </c>
      <c r="DK61" s="182"/>
      <c r="DM61" s="2"/>
      <c r="DN61" s="37" t="s">
        <v>3337</v>
      </c>
      <c r="DO61" s="37" t="s">
        <v>3337</v>
      </c>
      <c r="DP61" s="37" t="s">
        <v>407</v>
      </c>
      <c r="DQ61" s="37" t="s">
        <v>3334</v>
      </c>
      <c r="DR61" s="37" t="s">
        <v>408</v>
      </c>
      <c r="DS61" s="22"/>
      <c r="DT61" s="6"/>
      <c r="DZ61" s="48"/>
      <c r="ED61" s="50"/>
      <c r="EE61" s="50"/>
      <c r="EF61" s="50"/>
      <c r="EG61" s="50"/>
      <c r="EH61" s="63"/>
      <c r="EI61" s="63"/>
      <c r="EJ61" s="63"/>
      <c r="EK61" s="63"/>
      <c r="EL61" s="63"/>
      <c r="EM61" s="63"/>
      <c r="EN61" s="63"/>
      <c r="EO61" s="63"/>
      <c r="EP61" s="50"/>
      <c r="EQ61" s="50"/>
      <c r="ER61" s="50"/>
      <c r="ET61" s="97"/>
      <c r="EU61" s="38" t="s">
        <v>3608</v>
      </c>
      <c r="EV61" s="118">
        <f>LOOKUP(EV24,(EV52:EV57),(EW52:EW57))</f>
        <v>0</v>
      </c>
      <c r="FH61" s="97"/>
      <c r="FK61" s="135"/>
      <c r="FY61" s="2"/>
      <c r="FZ61" s="37" t="s">
        <v>3333</v>
      </c>
      <c r="GA61" s="37" t="s">
        <v>3333</v>
      </c>
      <c r="GB61" s="37" t="s">
        <v>407</v>
      </c>
      <c r="GC61" s="37" t="s">
        <v>3819</v>
      </c>
      <c r="GD61" s="37" t="s">
        <v>410</v>
      </c>
      <c r="GF61" s="22"/>
      <c r="GL61" s="48"/>
      <c r="GV61" s="128"/>
      <c r="GW61" s="4"/>
      <c r="GX61" s="37" t="s">
        <v>1178</v>
      </c>
      <c r="GY61" s="37" t="s">
        <v>1178</v>
      </c>
      <c r="GZ61" s="37" t="s">
        <v>1179</v>
      </c>
      <c r="HA61" s="37" t="s">
        <v>1178</v>
      </c>
      <c r="HB61" s="37" t="s">
        <v>3406</v>
      </c>
      <c r="HC61" s="37"/>
      <c r="HJ61" s="48"/>
      <c r="HK61" s="170"/>
      <c r="HM61" s="1" t="s">
        <v>3688</v>
      </c>
      <c r="HN61" s="170">
        <f>HN58+HN59+HN60</f>
        <v>0</v>
      </c>
      <c r="IB61" s="170"/>
      <c r="IC61" s="405"/>
      <c r="ID61" s="527" t="s">
        <v>353</v>
      </c>
      <c r="IE61" s="528" t="s">
        <v>353</v>
      </c>
      <c r="IF61" s="37" t="s">
        <v>3820</v>
      </c>
      <c r="IG61" s="37"/>
      <c r="IH61" s="37"/>
      <c r="II61" s="1"/>
      <c r="IJ61" s="1"/>
      <c r="IK61" s="1"/>
      <c r="IL61" s="1"/>
      <c r="IM61" s="405"/>
      <c r="IN61" s="178"/>
      <c r="IO61" s="1"/>
      <c r="IP61" s="1"/>
      <c r="IQ61" s="187">
        <f>IQ26</f>
        <v>0</v>
      </c>
      <c r="IR61" s="190">
        <f>IQ59</f>
        <v>0</v>
      </c>
      <c r="IS61" s="1"/>
      <c r="IT61" s="1"/>
      <c r="IU61" s="1"/>
      <c r="IV61" s="1"/>
      <c r="IW61" s="1"/>
      <c r="IX61" s="1"/>
      <c r="IY61" s="1"/>
      <c r="IZ61" s="1"/>
      <c r="JA61" s="1"/>
      <c r="JB61" s="1"/>
      <c r="JC61" s="178"/>
      <c r="JD61" s="135"/>
    </row>
    <row r="62" spans="6:264">
      <c r="I62" s="22"/>
      <c r="J62" s="156" t="s">
        <v>191</v>
      </c>
      <c r="K62" s="156" t="s">
        <v>191</v>
      </c>
      <c r="L62" s="22">
        <v>16</v>
      </c>
      <c r="M62" s="22">
        <v>45</v>
      </c>
      <c r="N62" s="22">
        <v>58.2</v>
      </c>
      <c r="O62" s="22">
        <v>82</v>
      </c>
      <c r="P62" s="22">
        <v>2</v>
      </c>
      <c r="Q62" s="22">
        <v>14</v>
      </c>
      <c r="R62" s="22" t="s">
        <v>192</v>
      </c>
      <c r="S62" s="22" t="s">
        <v>193</v>
      </c>
      <c r="V62" s="4"/>
      <c r="X62" s="128" t="s">
        <v>2882</v>
      </c>
      <c r="Y62" s="6" t="b">
        <f>ISNUMBER(Y59)</f>
        <v>1</v>
      </c>
      <c r="AB62" s="5"/>
      <c r="AI62" s="50"/>
      <c r="AJ62" s="50"/>
      <c r="AK62" s="50"/>
      <c r="AL62" s="50"/>
      <c r="AM62" s="50"/>
      <c r="AN62" s="51"/>
      <c r="AO62" s="68"/>
      <c r="AP62" s="468" t="s">
        <v>3552</v>
      </c>
      <c r="AQ62" s="73" t="str">
        <f>BQ119</f>
        <v/>
      </c>
      <c r="AR62" s="80" t="s">
        <v>2795</v>
      </c>
      <c r="AS62" s="81" t="str">
        <f>BS125</f>
        <v/>
      </c>
      <c r="AT62" s="79" t="s">
        <v>2779</v>
      </c>
      <c r="AU62" s="73" t="str">
        <f>BZ119</f>
        <v/>
      </c>
      <c r="AV62" s="75"/>
      <c r="AW62" s="50"/>
      <c r="AX62" s="50"/>
      <c r="AY62" s="50"/>
      <c r="AZ62" s="50"/>
      <c r="BA62" s="50"/>
      <c r="BB62" s="50"/>
      <c r="BC62" s="50"/>
      <c r="BD62" s="97"/>
      <c r="BE62" s="38" t="s">
        <v>2833</v>
      </c>
      <c r="BF62" s="118" t="str">
        <f>LOOKUP(BF24,(BF52:BF57),(BH52:BH57))</f>
        <v>μ 057</v>
      </c>
      <c r="BN62" s="97"/>
      <c r="BO62" s="166"/>
      <c r="BQ62" s="1" t="s">
        <v>3183</v>
      </c>
      <c r="BR62" s="235"/>
      <c r="BS62" s="298">
        <f>IF(BS60&gt;0,1,2)</f>
        <v>1</v>
      </c>
      <c r="BY62" s="1" t="s">
        <v>3183</v>
      </c>
      <c r="BZ62" s="235"/>
      <c r="CA62" s="298">
        <f>IF(CA60&gt;0,1,2)</f>
        <v>1</v>
      </c>
      <c r="CJ62" s="123"/>
      <c r="CK62" s="38" t="s">
        <v>3043</v>
      </c>
      <c r="CL62" s="128">
        <f>(CL61+CL58)/60</f>
        <v>0</v>
      </c>
      <c r="CM62" s="127"/>
      <c r="CN62" s="38" t="s">
        <v>3043</v>
      </c>
      <c r="CO62" s="128">
        <f>(CO61+CO58)/60</f>
        <v>0</v>
      </c>
      <c r="CP62" s="127"/>
      <c r="CQ62" s="6"/>
      <c r="CR62" s="138"/>
      <c r="CS62" s="38"/>
      <c r="CT62" s="127"/>
      <c r="CW62" s="170"/>
      <c r="CX62" s="6"/>
      <c r="CY62" s="145" t="s">
        <v>3143</v>
      </c>
      <c r="CZ62" s="6"/>
      <c r="DA62" s="6"/>
      <c r="DB62" s="6"/>
      <c r="DC62" s="182"/>
      <c r="DE62" s="1" t="s">
        <v>2953</v>
      </c>
      <c r="DF62" s="404">
        <f>IF(DF52&lt;10,DF52,0)</f>
        <v>0</v>
      </c>
      <c r="DG62" s="1" t="s">
        <v>2932</v>
      </c>
      <c r="DH62" s="405">
        <f>DH53+DH54+DH55+DH56+DH57+DH58+DH59+DH60+DH61</f>
        <v>0</v>
      </c>
      <c r="DI62" s="1" t="s">
        <v>2932</v>
      </c>
      <c r="DJ62" s="170">
        <f>DJ53+DJ54+DJ55+DJ56+DJ57+DJ58+DJ59+DJ60+DJ61</f>
        <v>0</v>
      </c>
      <c r="DK62" s="182"/>
      <c r="DM62" s="2"/>
      <c r="DN62" s="37" t="s">
        <v>407</v>
      </c>
      <c r="DO62" s="37" t="s">
        <v>407</v>
      </c>
      <c r="DP62" s="37" t="s">
        <v>407</v>
      </c>
      <c r="DQ62" s="37" t="s">
        <v>3334</v>
      </c>
      <c r="DR62" s="37" t="s">
        <v>408</v>
      </c>
      <c r="DS62" s="22"/>
      <c r="DT62" s="6"/>
      <c r="DZ62" s="48"/>
      <c r="ED62" s="50"/>
      <c r="EE62" s="50"/>
      <c r="EF62" s="50"/>
      <c r="EG62" s="50"/>
      <c r="EH62" s="327"/>
      <c r="EI62" s="327"/>
      <c r="EJ62" s="327"/>
      <c r="EK62" s="327"/>
      <c r="EL62" s="327"/>
      <c r="EM62" s="327"/>
      <c r="EN62" s="50"/>
      <c r="EO62" s="50"/>
      <c r="EP62" s="50"/>
      <c r="EQ62" s="50"/>
      <c r="ER62" s="50"/>
      <c r="ET62" s="97"/>
      <c r="EU62" s="38" t="s">
        <v>3609</v>
      </c>
      <c r="EV62" s="118">
        <f>LOOKUP(EV24,(EV52:EV57),(EX52:EX57))</f>
        <v>0</v>
      </c>
      <c r="FH62" s="97"/>
      <c r="FK62" s="135"/>
      <c r="FY62" s="2"/>
      <c r="FZ62" s="37" t="s">
        <v>3335</v>
      </c>
      <c r="GA62" s="37" t="s">
        <v>3335</v>
      </c>
      <c r="GB62" s="37" t="s">
        <v>407</v>
      </c>
      <c r="GC62" s="37" t="s">
        <v>3819</v>
      </c>
      <c r="GD62" s="37" t="s">
        <v>410</v>
      </c>
      <c r="GF62" s="22"/>
      <c r="GL62" s="48"/>
      <c r="GV62" s="128"/>
      <c r="GW62" s="4"/>
      <c r="GX62" s="37" t="s">
        <v>1191</v>
      </c>
      <c r="GY62" s="37" t="s">
        <v>1191</v>
      </c>
      <c r="GZ62" s="37" t="s">
        <v>1192</v>
      </c>
      <c r="HA62" s="37" t="s">
        <v>1191</v>
      </c>
      <c r="HB62" s="37" t="s">
        <v>1189</v>
      </c>
      <c r="HC62" s="37"/>
      <c r="HJ62" s="48"/>
      <c r="HK62" s="170"/>
      <c r="HM62" s="191">
        <v>8</v>
      </c>
      <c r="IB62" s="170"/>
      <c r="IC62" s="405"/>
      <c r="ID62" s="527" t="s">
        <v>2193</v>
      </c>
      <c r="IE62" s="528" t="s">
        <v>2193</v>
      </c>
      <c r="IF62" s="37" t="s">
        <v>3822</v>
      </c>
      <c r="IG62" s="37"/>
      <c r="IH62" s="37"/>
      <c r="II62" s="1"/>
      <c r="IJ62" s="1"/>
      <c r="IK62" s="1"/>
      <c r="IL62" s="1"/>
      <c r="IM62" s="405"/>
      <c r="IN62" s="178"/>
      <c r="IO62" s="1"/>
      <c r="IP62" s="1" t="s">
        <v>3761</v>
      </c>
      <c r="IQ62" s="1">
        <f>IF(IR61&lt;10,IR61,0)</f>
        <v>0</v>
      </c>
      <c r="IR62" s="1"/>
      <c r="IS62" s="1"/>
      <c r="IT62" s="547">
        <f>IQ69</f>
        <v>0</v>
      </c>
      <c r="IU62" s="1"/>
      <c r="IV62" s="1"/>
      <c r="IW62" s="1"/>
      <c r="IX62" s="1"/>
      <c r="IY62" s="1"/>
      <c r="IZ62" s="1"/>
      <c r="JA62" s="1"/>
      <c r="JB62" s="1"/>
      <c r="JC62" s="178"/>
      <c r="JD62" s="135"/>
    </row>
    <row r="63" spans="6:264" ht="15.75">
      <c r="I63" s="22"/>
      <c r="J63" s="156" t="s">
        <v>194</v>
      </c>
      <c r="K63" s="156" t="s">
        <v>194</v>
      </c>
      <c r="L63" s="22">
        <v>15</v>
      </c>
      <c r="M63" s="22">
        <v>14</v>
      </c>
      <c r="N63" s="22">
        <v>3.5</v>
      </c>
      <c r="O63" s="22">
        <v>77</v>
      </c>
      <c r="P63" s="22">
        <v>47</v>
      </c>
      <c r="Q63" s="22">
        <v>40</v>
      </c>
      <c r="R63" s="22" t="s">
        <v>195</v>
      </c>
      <c r="S63" s="22" t="s">
        <v>196</v>
      </c>
      <c r="V63" s="4"/>
      <c r="X63" s="128" t="s">
        <v>2878</v>
      </c>
      <c r="Y63" s="4" t="str">
        <f>IF(Y62=Y60,Y61,Y55)</f>
        <v>ωωωωωω</v>
      </c>
      <c r="AB63" s="5"/>
      <c r="AI63" s="50"/>
      <c r="AJ63" s="50"/>
      <c r="AK63" s="50"/>
      <c r="AL63" s="50"/>
      <c r="AM63" s="50"/>
      <c r="AN63" s="51"/>
      <c r="AO63" s="68"/>
      <c r="AP63" s="79" t="s">
        <v>3553</v>
      </c>
      <c r="AQ63" s="73" t="str">
        <f ca="1">BR119</f>
        <v/>
      </c>
      <c r="AR63" s="82" t="str">
        <f>BS127</f>
        <v/>
      </c>
      <c r="AS63" s="83"/>
      <c r="AT63" s="79" t="s">
        <v>2780</v>
      </c>
      <c r="AU63" s="73" t="str">
        <f>CA119</f>
        <v/>
      </c>
      <c r="AV63" s="75"/>
      <c r="AW63" s="50"/>
      <c r="AX63" s="50"/>
      <c r="AY63" s="50"/>
      <c r="AZ63" s="50"/>
      <c r="BA63" s="50"/>
      <c r="BB63" s="50"/>
      <c r="BC63" s="50"/>
      <c r="BD63" s="97"/>
      <c r="BE63" s="38" t="s">
        <v>2865</v>
      </c>
      <c r="BF63" s="118">
        <f>LOOKUP(BF24,(BF52:BF58),(BJ52:BJ58))</f>
        <v>2000</v>
      </c>
      <c r="BN63" s="97"/>
      <c r="BO63" s="166"/>
      <c r="BR63" s="235"/>
      <c r="BS63" s="304"/>
      <c r="BZ63" s="235"/>
      <c r="CA63" s="304"/>
      <c r="CJ63" s="123"/>
      <c r="CK63" s="38" t="s">
        <v>3044</v>
      </c>
      <c r="CL63" s="129">
        <f>CL62+CL57</f>
        <v>0</v>
      </c>
      <c r="CM63" s="127"/>
      <c r="CN63" s="38" t="s">
        <v>3044</v>
      </c>
      <c r="CO63" s="129">
        <f>CO62+CO57</f>
        <v>0</v>
      </c>
      <c r="CP63" s="127"/>
      <c r="CQ63" s="6"/>
      <c r="CR63" s="138"/>
      <c r="CS63" s="38" t="s">
        <v>3084</v>
      </c>
      <c r="CT63" s="127"/>
      <c r="CW63" s="170"/>
      <c r="CX63" s="6"/>
      <c r="CY63" s="136" t="s">
        <v>2891</v>
      </c>
      <c r="DA63" s="175"/>
      <c r="DB63" s="175"/>
      <c r="DC63" s="182"/>
      <c r="DG63" s="1" t="s">
        <v>2934</v>
      </c>
      <c r="DH63" s="406">
        <f>DH62-DJ62</f>
        <v>0</v>
      </c>
      <c r="DK63" s="182"/>
      <c r="DM63" s="2"/>
      <c r="DN63" s="37" t="s">
        <v>3338</v>
      </c>
      <c r="DO63" s="37" t="s">
        <v>3338</v>
      </c>
      <c r="DP63" s="37" t="s">
        <v>3216</v>
      </c>
      <c r="DQ63" s="37" t="s">
        <v>3339</v>
      </c>
      <c r="DR63" s="37" t="s">
        <v>490</v>
      </c>
      <c r="DS63" s="22"/>
      <c r="DT63" s="6"/>
      <c r="DZ63" s="48"/>
      <c r="ED63" s="50"/>
      <c r="EE63" s="50"/>
      <c r="EF63" s="50"/>
      <c r="EG63" s="438"/>
      <c r="EH63" s="62"/>
      <c r="EI63" s="63"/>
      <c r="EJ63" s="63"/>
      <c r="EK63" s="63"/>
      <c r="EL63" s="63"/>
      <c r="EM63" s="585"/>
      <c r="EN63" s="337"/>
      <c r="EO63" s="50"/>
      <c r="EP63" s="50"/>
      <c r="EQ63" s="50"/>
      <c r="ER63" s="50"/>
      <c r="ET63" s="97"/>
      <c r="EU63" s="38" t="s">
        <v>3610</v>
      </c>
      <c r="EV63" s="118">
        <f>LOOKUP(EV24,(EV52:EV57),(EY52:EY57))</f>
        <v>0</v>
      </c>
      <c r="FH63" s="97"/>
      <c r="FK63" s="135"/>
      <c r="FO63" s="200"/>
      <c r="FY63" s="2"/>
      <c r="FZ63" s="37" t="s">
        <v>3336</v>
      </c>
      <c r="GA63" s="37" t="s">
        <v>3336</v>
      </c>
      <c r="GB63" s="37" t="s">
        <v>407</v>
      </c>
      <c r="GC63" s="37" t="s">
        <v>3819</v>
      </c>
      <c r="GD63" s="37" t="s">
        <v>410</v>
      </c>
      <c r="GF63" s="22"/>
      <c r="GL63" s="48"/>
      <c r="GV63" s="128"/>
      <c r="GW63" s="4"/>
      <c r="GX63" s="37" t="s">
        <v>3823</v>
      </c>
      <c r="GY63" s="37" t="s">
        <v>3823</v>
      </c>
      <c r="GZ63" s="37" t="s">
        <v>3814</v>
      </c>
      <c r="HA63" s="37" t="s">
        <v>3823</v>
      </c>
      <c r="HB63" s="37" t="s">
        <v>1525</v>
      </c>
      <c r="HC63" s="37"/>
      <c r="HJ63" s="48"/>
      <c r="HK63" s="170"/>
      <c r="HM63" s="1" t="s">
        <v>3824</v>
      </c>
      <c r="IB63" s="170"/>
      <c r="IC63" s="405"/>
      <c r="ID63" s="527" t="s">
        <v>2711</v>
      </c>
      <c r="IE63" s="528" t="s">
        <v>2711</v>
      </c>
      <c r="IF63" s="37" t="s">
        <v>3825</v>
      </c>
      <c r="IG63" s="37"/>
      <c r="IH63" s="37"/>
      <c r="II63" s="1"/>
      <c r="IJ63" s="1"/>
      <c r="IK63" s="1"/>
      <c r="IL63" s="1"/>
      <c r="IM63" s="405"/>
      <c r="IN63" s="178"/>
      <c r="IO63" s="1"/>
      <c r="IP63" s="1" t="s">
        <v>3766</v>
      </c>
      <c r="IQ63" s="205">
        <f>IF(IQ62&gt;0,1,0)</f>
        <v>0</v>
      </c>
      <c r="IR63" s="1"/>
      <c r="IS63" s="1"/>
      <c r="IT63" s="65">
        <v>0</v>
      </c>
      <c r="IU63" s="141"/>
      <c r="IV63" s="65" t="s">
        <v>3694</v>
      </c>
      <c r="IW63" s="65" t="s">
        <v>3694</v>
      </c>
      <c r="IX63" s="65" t="s">
        <v>3694</v>
      </c>
      <c r="IY63" s="1"/>
      <c r="IZ63" s="1"/>
      <c r="JA63" s="1"/>
      <c r="JB63" s="1"/>
      <c r="JC63" s="178"/>
      <c r="JD63" s="135"/>
    </row>
    <row r="64" spans="6:264" ht="20.25">
      <c r="I64" s="22"/>
      <c r="J64" s="156" t="s">
        <v>197</v>
      </c>
      <c r="K64" s="156" t="s">
        <v>197</v>
      </c>
      <c r="L64" s="22">
        <v>16</v>
      </c>
      <c r="M64" s="22">
        <v>17</v>
      </c>
      <c r="N64" s="22">
        <v>30.3</v>
      </c>
      <c r="O64" s="22">
        <v>75</v>
      </c>
      <c r="P64" s="22">
        <v>45</v>
      </c>
      <c r="Q64" s="22">
        <v>19</v>
      </c>
      <c r="R64" s="22" t="s">
        <v>198</v>
      </c>
      <c r="S64" s="22" t="s">
        <v>199</v>
      </c>
      <c r="V64" s="4"/>
      <c r="X64" s="128"/>
      <c r="AB64" s="5"/>
      <c r="AI64" s="50"/>
      <c r="AJ64" s="50"/>
      <c r="AK64" s="50"/>
      <c r="AL64" s="50"/>
      <c r="AM64" s="50"/>
      <c r="AN64" s="51"/>
      <c r="AO64" s="68"/>
      <c r="AP64" s="468" t="s">
        <v>3571</v>
      </c>
      <c r="AQ64" s="368" t="str">
        <f>BS119</f>
        <v/>
      </c>
      <c r="AR64" s="343" t="s">
        <v>2796</v>
      </c>
      <c r="AS64" s="84" t="str">
        <f>BS126</f>
        <v/>
      </c>
      <c r="AT64" s="79" t="s">
        <v>2789</v>
      </c>
      <c r="AU64" s="368" t="str">
        <f>CB119</f>
        <v/>
      </c>
      <c r="AV64" s="75"/>
      <c r="AW64" s="50"/>
      <c r="AX64" s="50"/>
      <c r="AY64" s="50"/>
      <c r="AZ64" s="50"/>
      <c r="BA64" s="50"/>
      <c r="BB64" s="50"/>
      <c r="BC64" s="50"/>
      <c r="BD64" s="97"/>
      <c r="BE64" s="95" t="s">
        <v>2864</v>
      </c>
      <c r="BF64" s="109" t="str">
        <f>LOOKUP(BF24,(BF52:BF58),(BK52:BK58))</f>
        <v>Eνεργή οθόνη 1</v>
      </c>
      <c r="BN64" s="97"/>
      <c r="BO64" s="166"/>
      <c r="BS64" s="293" t="s">
        <v>461</v>
      </c>
      <c r="CA64" s="293" t="s">
        <v>461</v>
      </c>
      <c r="CJ64" s="123"/>
      <c r="CK64" s="210" t="s">
        <v>3045</v>
      </c>
      <c r="CL64" s="128"/>
      <c r="CM64" s="127"/>
      <c r="CN64" s="210" t="s">
        <v>3045</v>
      </c>
      <c r="CO64" s="128"/>
      <c r="CP64" s="127"/>
      <c r="CQ64" s="6"/>
      <c r="CR64" s="138"/>
      <c r="CS64" s="38" t="s">
        <v>2856</v>
      </c>
      <c r="CT64" s="230">
        <f>CO79</f>
        <v>6</v>
      </c>
      <c r="CW64" s="170"/>
      <c r="CX64" s="6"/>
      <c r="CY64" s="257" t="s">
        <v>3145</v>
      </c>
      <c r="CZ64" s="151">
        <f>CB81</f>
        <v>0</v>
      </c>
      <c r="DA64" s="6"/>
      <c r="DB64" s="6"/>
      <c r="DC64" s="182"/>
      <c r="DD64" s="175"/>
      <c r="DE64" s="175" t="s">
        <v>3000</v>
      </c>
      <c r="DF64" s="65">
        <f>DF90</f>
        <v>0</v>
      </c>
      <c r="DH64" s="175"/>
      <c r="DK64" s="182"/>
      <c r="DM64" s="2"/>
      <c r="DN64" s="37" t="s">
        <v>3215</v>
      </c>
      <c r="DO64" s="37" t="s">
        <v>3215</v>
      </c>
      <c r="DP64" s="37" t="s">
        <v>3216</v>
      </c>
      <c r="DQ64" s="37" t="s">
        <v>3339</v>
      </c>
      <c r="DR64" s="37" t="s">
        <v>490</v>
      </c>
      <c r="DS64" s="22"/>
      <c r="DT64" s="6"/>
      <c r="DZ64" s="48"/>
      <c r="ED64" s="50"/>
      <c r="EE64" s="50"/>
      <c r="EF64" s="50"/>
      <c r="EG64" s="438"/>
      <c r="EH64" s="586" t="s">
        <v>3593</v>
      </c>
      <c r="EI64" s="144"/>
      <c r="EJ64" s="583" t="s">
        <v>3594</v>
      </c>
      <c r="EK64" s="144"/>
      <c r="EL64" s="50"/>
      <c r="EM64" s="438"/>
      <c r="EN64" s="337">
        <f>IF(EJ65=2,1,0)</f>
        <v>1</v>
      </c>
      <c r="EO64" s="50"/>
      <c r="EP64" s="50"/>
      <c r="EQ64" s="50"/>
      <c r="ER64" s="50"/>
      <c r="ET64" s="97"/>
      <c r="EU64" s="38" t="s">
        <v>3611</v>
      </c>
      <c r="EV64" s="118">
        <f>LOOKUP(EV24,(EV52:EV57):(EZ52:EZ57))</f>
        <v>0</v>
      </c>
      <c r="FH64" s="97"/>
      <c r="FK64" s="135"/>
      <c r="FY64" s="2"/>
      <c r="FZ64" s="37" t="s">
        <v>3214</v>
      </c>
      <c r="GA64" s="37" t="s">
        <v>3214</v>
      </c>
      <c r="GB64" s="37" t="s">
        <v>407</v>
      </c>
      <c r="GC64" s="37" t="s">
        <v>3819</v>
      </c>
      <c r="GD64" s="37" t="s">
        <v>410</v>
      </c>
      <c r="GF64" s="22"/>
      <c r="GL64" s="48"/>
      <c r="GV64" s="128"/>
      <c r="GW64" s="4"/>
      <c r="GX64" s="37" t="s">
        <v>1532</v>
      </c>
      <c r="GY64" s="37" t="s">
        <v>1532</v>
      </c>
      <c r="GZ64" s="37" t="s">
        <v>1533</v>
      </c>
      <c r="HA64" s="37" t="s">
        <v>1532</v>
      </c>
      <c r="HB64" s="37" t="s">
        <v>3226</v>
      </c>
      <c r="HC64" s="37"/>
      <c r="HJ64" s="48"/>
      <c r="HK64" s="170"/>
      <c r="HM64" s="1" t="s">
        <v>3682</v>
      </c>
      <c r="HN64" s="1">
        <f>IF(HN19=HM64,8,0)</f>
        <v>0</v>
      </c>
      <c r="IB64" s="170"/>
      <c r="IC64" s="405"/>
      <c r="ID64" s="527" t="s">
        <v>2328</v>
      </c>
      <c r="IE64" s="528" t="s">
        <v>2328</v>
      </c>
      <c r="IF64" s="37" t="s">
        <v>3826</v>
      </c>
      <c r="IG64" s="37"/>
      <c r="IH64" s="37"/>
      <c r="II64" s="1"/>
      <c r="IJ64" s="1"/>
      <c r="IK64" s="1"/>
      <c r="IL64" s="1"/>
      <c r="IM64" s="405"/>
      <c r="IN64" s="178"/>
      <c r="IO64" s="1"/>
      <c r="IP64" s="1" t="s">
        <v>3769</v>
      </c>
      <c r="IQ64" s="1">
        <f>IF(IR61&lt;100,IR61,0)</f>
        <v>0</v>
      </c>
      <c r="IR64" s="1"/>
      <c r="IS64" s="1"/>
      <c r="IT64" s="65">
        <v>1</v>
      </c>
      <c r="IU64" s="141"/>
      <c r="IV64" s="65">
        <v>0</v>
      </c>
      <c r="IW64" s="65">
        <v>0</v>
      </c>
      <c r="IX64" s="65">
        <v>0</v>
      </c>
      <c r="IY64" s="1"/>
      <c r="IZ64" s="1"/>
      <c r="JA64" s="1"/>
      <c r="JB64" s="1"/>
      <c r="JC64" s="178"/>
      <c r="JD64" s="135"/>
    </row>
    <row r="65" spans="9:264">
      <c r="I65" s="24" t="s">
        <v>200</v>
      </c>
      <c r="J65" s="157" t="s">
        <v>201</v>
      </c>
      <c r="K65" s="157" t="s">
        <v>201</v>
      </c>
      <c r="L65" s="24" t="s">
        <v>39</v>
      </c>
      <c r="M65" s="24" t="s">
        <v>200</v>
      </c>
      <c r="N65" s="24" t="s">
        <v>200</v>
      </c>
      <c r="O65" s="24" t="s">
        <v>40</v>
      </c>
      <c r="P65" s="24" t="s">
        <v>202</v>
      </c>
      <c r="Q65" s="24" t="s">
        <v>203</v>
      </c>
      <c r="R65" s="24" t="s">
        <v>204</v>
      </c>
      <c r="S65" s="24" t="s">
        <v>202</v>
      </c>
      <c r="V65" s="4"/>
      <c r="X65" s="168" t="s">
        <v>2850</v>
      </c>
      <c r="AB65" s="5"/>
      <c r="AC65" s="145" t="s">
        <v>2872</v>
      </c>
      <c r="AI65" s="50"/>
      <c r="AJ65" s="50"/>
      <c r="AK65" s="50"/>
      <c r="AL65" s="50"/>
      <c r="AM65" s="50"/>
      <c r="AN65" s="51"/>
      <c r="AO65" s="68"/>
      <c r="AP65" s="79" t="s">
        <v>3570</v>
      </c>
      <c r="AQ65" s="367" t="str">
        <f>BT119</f>
        <v/>
      </c>
      <c r="AR65" s="70"/>
      <c r="AS65" s="85"/>
      <c r="AT65" s="79" t="s">
        <v>2797</v>
      </c>
      <c r="AU65" s="367" t="str">
        <f>CC119</f>
        <v/>
      </c>
      <c r="AV65" s="75"/>
      <c r="AW65" s="50"/>
      <c r="AX65" s="50"/>
      <c r="AY65" s="50"/>
      <c r="AZ65" s="50"/>
      <c r="BA65" s="50"/>
      <c r="BB65" s="50"/>
      <c r="BC65" s="50"/>
      <c r="BD65" s="97"/>
      <c r="BE65" s="95" t="s">
        <v>3241</v>
      </c>
      <c r="BF65" s="118">
        <f>LOOKUP(BF24,(BF52:BF58),(BI52:BI58))</f>
        <v>0</v>
      </c>
      <c r="BG65" s="128"/>
      <c r="BN65" s="97"/>
      <c r="BO65" s="166"/>
      <c r="BQ65" s="245" t="s">
        <v>3185</v>
      </c>
      <c r="BR65" s="305"/>
      <c r="BS65" s="306" t="str">
        <f>CL68</f>
        <v/>
      </c>
      <c r="BY65" s="246" t="s">
        <v>3187</v>
      </c>
      <c r="BZ65" s="260"/>
      <c r="CA65" s="307" t="str">
        <f>CL135</f>
        <v/>
      </c>
      <c r="CJ65" s="123"/>
      <c r="CK65" s="38" t="s">
        <v>3046</v>
      </c>
      <c r="CL65" s="128">
        <f>IF(CL37=0,0,1)</f>
        <v>1</v>
      </c>
      <c r="CM65" s="127"/>
      <c r="CN65" s="38" t="s">
        <v>3046</v>
      </c>
      <c r="CO65" s="128">
        <f>IF(CO37=0,0,1)</f>
        <v>1</v>
      </c>
      <c r="CP65" s="127"/>
      <c r="CQ65" s="6"/>
      <c r="CR65" s="138"/>
      <c r="CS65" s="38" t="s">
        <v>3085</v>
      </c>
      <c r="CT65" s="180" t="str">
        <f>IF(CT64=0,CT44,"")</f>
        <v/>
      </c>
      <c r="CW65" s="170"/>
      <c r="CX65" s="6"/>
      <c r="CY65" s="260" t="s">
        <v>3144</v>
      </c>
      <c r="CZ65" s="151">
        <f>CB100</f>
        <v>0</v>
      </c>
      <c r="DA65" s="6"/>
      <c r="DB65" s="6"/>
      <c r="DC65" s="182"/>
      <c r="DE65" s="402" t="s">
        <v>3001</v>
      </c>
      <c r="DF65" s="195">
        <f>IF(DF64&lt;10,DF64,DH63)</f>
        <v>0</v>
      </c>
      <c r="DG65" s="403" t="s">
        <v>3002</v>
      </c>
      <c r="DH65" s="402"/>
      <c r="DI65" s="402"/>
      <c r="DJ65" s="402"/>
      <c r="DK65" s="182"/>
      <c r="DM65" s="2"/>
      <c r="DN65" s="37" t="s">
        <v>3340</v>
      </c>
      <c r="DO65" s="37" t="s">
        <v>3340</v>
      </c>
      <c r="DP65" s="37" t="s">
        <v>3216</v>
      </c>
      <c r="DQ65" s="37" t="s">
        <v>3339</v>
      </c>
      <c r="DR65" s="37" t="s">
        <v>490</v>
      </c>
      <c r="DS65" s="22"/>
      <c r="DT65" s="6"/>
      <c r="DZ65" s="48"/>
      <c r="ED65" s="50"/>
      <c r="EE65" s="50"/>
      <c r="EF65" s="50"/>
      <c r="EG65" s="438"/>
      <c r="EH65" s="503" t="s">
        <v>3595</v>
      </c>
      <c r="EI65" s="392"/>
      <c r="EJ65" s="598">
        <v>2</v>
      </c>
      <c r="EK65" s="503"/>
      <c r="EL65" s="50"/>
      <c r="EM65" s="438"/>
      <c r="EN65" s="337">
        <f>IF(EJ65=1,1,0)</f>
        <v>0</v>
      </c>
      <c r="EO65" s="50"/>
      <c r="EP65" s="50"/>
      <c r="EQ65" s="50"/>
      <c r="ER65" s="50"/>
      <c r="ET65" s="97"/>
      <c r="EU65" s="38" t="s">
        <v>2865</v>
      </c>
      <c r="EV65" s="118">
        <f>LOOKUP(EV24,(EV52:EV58),(FB52:FB58))</f>
        <v>2000</v>
      </c>
      <c r="FH65" s="97"/>
      <c r="FK65" s="135"/>
      <c r="FY65" s="2"/>
      <c r="FZ65" s="37" t="s">
        <v>3337</v>
      </c>
      <c r="GA65" s="37" t="s">
        <v>3337</v>
      </c>
      <c r="GB65" s="37" t="s">
        <v>407</v>
      </c>
      <c r="GC65" s="37" t="s">
        <v>3819</v>
      </c>
      <c r="GD65" s="37" t="s">
        <v>410</v>
      </c>
      <c r="GF65" s="22"/>
      <c r="GL65" s="48"/>
      <c r="GV65" s="128"/>
      <c r="GW65" s="4"/>
      <c r="GX65" s="37" t="s">
        <v>352</v>
      </c>
      <c r="GY65" s="37" t="s">
        <v>352</v>
      </c>
      <c r="GZ65" s="37" t="s">
        <v>353</v>
      </c>
      <c r="HA65" s="37" t="s">
        <v>352</v>
      </c>
      <c r="HB65" s="37" t="s">
        <v>350</v>
      </c>
      <c r="HC65" s="37"/>
      <c r="HJ65" s="48"/>
      <c r="HK65" s="170"/>
      <c r="HM65" s="1" t="s">
        <v>3827</v>
      </c>
      <c r="HN65" s="1">
        <f>IF(HN19=HM65,8,0)</f>
        <v>0</v>
      </c>
      <c r="IB65" s="170"/>
      <c r="IC65" s="405"/>
      <c r="ID65" s="527" t="s">
        <v>2287</v>
      </c>
      <c r="IE65" s="528" t="s">
        <v>2287</v>
      </c>
      <c r="IF65" s="37" t="s">
        <v>3828</v>
      </c>
      <c r="IG65" s="37"/>
      <c r="IH65" s="37"/>
      <c r="II65" s="1"/>
      <c r="IJ65" s="1"/>
      <c r="IK65" s="1"/>
      <c r="IL65" s="1"/>
      <c r="IM65" s="405"/>
      <c r="IN65" s="178"/>
      <c r="IO65" s="1"/>
      <c r="IP65" s="1" t="s">
        <v>3771</v>
      </c>
      <c r="IQ65" s="205">
        <f>IF(IQ64&lt;10,0,2)</f>
        <v>0</v>
      </c>
      <c r="IR65" s="1"/>
      <c r="IS65" s="1"/>
      <c r="IT65" s="65">
        <v>2</v>
      </c>
      <c r="IU65" s="141"/>
      <c r="IV65" s="65" t="str">
        <f>""</f>
        <v/>
      </c>
      <c r="IW65" s="65">
        <v>0</v>
      </c>
      <c r="IX65" s="65">
        <v>0</v>
      </c>
      <c r="IY65" s="1"/>
      <c r="IZ65" s="1"/>
      <c r="JA65" s="1"/>
      <c r="JB65" s="1"/>
      <c r="JC65" s="178"/>
      <c r="JD65" s="135"/>
    </row>
    <row r="66" spans="9:264">
      <c r="I66" s="22"/>
      <c r="J66" s="156" t="s">
        <v>205</v>
      </c>
      <c r="K66" s="156" t="s">
        <v>205</v>
      </c>
      <c r="L66" s="22">
        <v>1</v>
      </c>
      <c r="M66" s="22">
        <v>37</v>
      </c>
      <c r="N66" s="22">
        <v>59.6</v>
      </c>
      <c r="O66" s="22">
        <v>48</v>
      </c>
      <c r="P66" s="22">
        <v>37</v>
      </c>
      <c r="Q66" s="22">
        <v>42</v>
      </c>
      <c r="R66" s="22" t="s">
        <v>206</v>
      </c>
      <c r="S66" s="22" t="s">
        <v>207</v>
      </c>
      <c r="V66" s="4"/>
      <c r="X66" s="128" t="s">
        <v>2839</v>
      </c>
      <c r="Y66" s="192" t="str">
        <f>LOOKUP(Y63,(J5:J917),(L5:L917))</f>
        <v/>
      </c>
      <c r="AB66" s="5"/>
      <c r="AC66" s="6" t="s">
        <v>10</v>
      </c>
      <c r="AD66" s="57" t="str">
        <f>Y66</f>
        <v/>
      </c>
      <c r="AI66" s="50"/>
      <c r="AJ66" s="50"/>
      <c r="AK66" s="50"/>
      <c r="AL66" s="50"/>
      <c r="AM66" s="50"/>
      <c r="AN66" s="51"/>
      <c r="AO66" s="68"/>
      <c r="AP66" s="6" t="s">
        <v>3527</v>
      </c>
      <c r="AQ66" s="85" t="str">
        <f>BS131</f>
        <v/>
      </c>
      <c r="AR66" s="35"/>
      <c r="AS66" s="35"/>
      <c r="AT66" s="64"/>
      <c r="AU66" s="72"/>
      <c r="AV66" s="75"/>
      <c r="AW66" s="50"/>
      <c r="AX66" s="50"/>
      <c r="AY66" s="50"/>
      <c r="AZ66" s="50"/>
      <c r="BA66" s="50"/>
      <c r="BB66" s="50"/>
      <c r="BC66" s="50"/>
      <c r="BD66" s="97"/>
      <c r="BF66" s="6"/>
      <c r="BN66" s="97"/>
      <c r="BO66" s="166"/>
      <c r="BQ66" s="245" t="s">
        <v>3190</v>
      </c>
      <c r="BR66" s="305"/>
      <c r="BS66" s="306" t="str">
        <f>CO68</f>
        <v/>
      </c>
      <c r="BY66" s="246" t="s">
        <v>3192</v>
      </c>
      <c r="BZ66" s="260"/>
      <c r="CA66" s="307" t="str">
        <f>CO135</f>
        <v/>
      </c>
      <c r="CJ66" s="123"/>
      <c r="CK66" s="38" t="s">
        <v>3047</v>
      </c>
      <c r="CL66" s="128">
        <f>IF(CL53&gt;0,0,1)</f>
        <v>0</v>
      </c>
      <c r="CM66" s="127"/>
      <c r="CN66" s="38" t="s">
        <v>3047</v>
      </c>
      <c r="CO66" s="128">
        <f>IF(CO53&gt;0,0,1)</f>
        <v>0</v>
      </c>
      <c r="CP66" s="127"/>
      <c r="CQ66" s="6"/>
      <c r="CR66" s="138"/>
      <c r="CS66" s="95" t="s">
        <v>3086</v>
      </c>
      <c r="CT66" s="180" t="str">
        <f>IF(CT64=0,CT55,"")</f>
        <v/>
      </c>
      <c r="CW66" s="170"/>
      <c r="CX66" s="6"/>
      <c r="CY66" s="6" t="s">
        <v>3146</v>
      </c>
      <c r="CZ66" s="190">
        <f>CZ64+CZ65</f>
        <v>0</v>
      </c>
      <c r="DA66" s="6"/>
      <c r="DB66" s="6"/>
      <c r="DC66" s="182"/>
      <c r="DE66" s="1" t="s">
        <v>2953</v>
      </c>
      <c r="DF66" s="404">
        <f>IF(DF65&lt;10,DF65,0)</f>
        <v>0</v>
      </c>
      <c r="DG66" s="1" t="s">
        <v>2931</v>
      </c>
      <c r="DH66" s="1">
        <f t="shared" ref="DH66:DH74" si="3">IF(DF67=0,DF66,0)</f>
        <v>0</v>
      </c>
      <c r="DI66" s="1" t="s">
        <v>2954</v>
      </c>
      <c r="DJ66" s="170">
        <f>IF(DH66&gt;0,9,0)</f>
        <v>0</v>
      </c>
      <c r="DK66" s="182"/>
      <c r="DM66" s="2"/>
      <c r="DN66" s="37" t="s">
        <v>3216</v>
      </c>
      <c r="DO66" s="37" t="s">
        <v>3216</v>
      </c>
      <c r="DP66" s="37" t="s">
        <v>3216</v>
      </c>
      <c r="DQ66" s="37" t="s">
        <v>3339</v>
      </c>
      <c r="DR66" s="37" t="s">
        <v>490</v>
      </c>
      <c r="DS66" s="22"/>
      <c r="DT66" s="6"/>
      <c r="DZ66" s="48"/>
      <c r="ED66" s="50"/>
      <c r="EE66" s="50"/>
      <c r="EF66" s="50"/>
      <c r="EG66" s="438"/>
      <c r="EH66" s="503" t="s">
        <v>3596</v>
      </c>
      <c r="EI66" s="144"/>
      <c r="EJ66" s="301" t="s">
        <v>2815</v>
      </c>
      <c r="EK66" s="514" t="str">
        <f>IF(EJ68=1,"EQ  ΑΠΟ-ΠΡΟΣ = 1","EQ Δ ΑΠΟ-ΠΡΟΣ = 2")</f>
        <v>EQ Δ ΑΠΟ-ΠΡΟΣ = 2</v>
      </c>
      <c r="EL66" s="50"/>
      <c r="EM66" s="438"/>
      <c r="EN66" s="337">
        <f>EN64+EN65</f>
        <v>1</v>
      </c>
      <c r="EO66" s="50"/>
      <c r="EP66" s="50"/>
      <c r="EQ66" s="50"/>
      <c r="ER66" s="50"/>
      <c r="ET66" s="97"/>
      <c r="EU66" s="95" t="s">
        <v>2864</v>
      </c>
      <c r="EV66" s="109" t="str">
        <f ca="1">LOOKUP(EV24,(EV52:EV58),(FC52:FC57))</f>
        <v>Eνεργή οθόνη 3</v>
      </c>
      <c r="FH66" s="97"/>
      <c r="FK66" s="135"/>
      <c r="FY66" s="2"/>
      <c r="FZ66" s="37" t="s">
        <v>407</v>
      </c>
      <c r="GA66" s="37" t="s">
        <v>407</v>
      </c>
      <c r="GB66" s="37" t="s">
        <v>407</v>
      </c>
      <c r="GC66" s="37" t="s">
        <v>3819</v>
      </c>
      <c r="GD66" s="37" t="s">
        <v>410</v>
      </c>
      <c r="GF66" s="22"/>
      <c r="GL66" s="48"/>
      <c r="GV66" s="128"/>
      <c r="GW66" s="4"/>
      <c r="GX66" s="37" t="s">
        <v>2192</v>
      </c>
      <c r="GY66" s="37" t="s">
        <v>2192</v>
      </c>
      <c r="GZ66" s="37" t="s">
        <v>2193</v>
      </c>
      <c r="HA66" s="37" t="s">
        <v>2192</v>
      </c>
      <c r="HB66" s="37" t="s">
        <v>2190</v>
      </c>
      <c r="HC66" s="37"/>
      <c r="HJ66" s="48"/>
      <c r="HK66" s="170"/>
      <c r="HM66" s="1" t="s">
        <v>3830</v>
      </c>
      <c r="HN66" s="1">
        <f>IF(HN19=HM66,8,0)</f>
        <v>0</v>
      </c>
      <c r="IB66" s="170"/>
      <c r="IC66" s="405"/>
      <c r="ID66" s="527" t="s">
        <v>2693</v>
      </c>
      <c r="IE66" s="528" t="s">
        <v>2693</v>
      </c>
      <c r="IF66" s="37" t="s">
        <v>3831</v>
      </c>
      <c r="IG66" s="37"/>
      <c r="IH66" s="37"/>
      <c r="II66" s="1"/>
      <c r="IJ66" s="1"/>
      <c r="IK66" s="1"/>
      <c r="IL66" s="1"/>
      <c r="IM66" s="405"/>
      <c r="IN66" s="178"/>
      <c r="IO66" s="1"/>
      <c r="IP66" s="1" t="s">
        <v>3816</v>
      </c>
      <c r="IQ66" s="1">
        <f>IF(IR61&lt;1000,IR61,0)</f>
        <v>0</v>
      </c>
      <c r="IR66" s="1"/>
      <c r="IS66" s="1"/>
      <c r="IT66" s="65">
        <v>3</v>
      </c>
      <c r="IU66" s="141"/>
      <c r="IV66" s="65" t="str">
        <f>""</f>
        <v/>
      </c>
      <c r="IW66" s="65" t="str">
        <f>""</f>
        <v/>
      </c>
      <c r="IX66" s="65">
        <v>0</v>
      </c>
      <c r="IY66" s="1"/>
      <c r="IZ66" s="1"/>
      <c r="JA66" s="1"/>
      <c r="JB66" s="1"/>
      <c r="JC66" s="178"/>
      <c r="JD66" s="135"/>
    </row>
    <row r="67" spans="9:264">
      <c r="I67" s="22"/>
      <c r="J67" s="156" t="s">
        <v>208</v>
      </c>
      <c r="K67" s="156" t="s">
        <v>208</v>
      </c>
      <c r="L67" s="22">
        <v>0</v>
      </c>
      <c r="M67" s="22">
        <v>8</v>
      </c>
      <c r="N67" s="22">
        <v>23.3</v>
      </c>
      <c r="O67" s="22">
        <v>29</v>
      </c>
      <c r="P67" s="22">
        <v>5</v>
      </c>
      <c r="Q67" s="22">
        <v>26</v>
      </c>
      <c r="R67" s="22" t="s">
        <v>209</v>
      </c>
      <c r="S67" s="22" t="s">
        <v>210</v>
      </c>
      <c r="V67" s="4"/>
      <c r="X67" s="128" t="s">
        <v>2840</v>
      </c>
      <c r="Y67" s="192" t="str">
        <f>LOOKUP(Y63,(J5:J917),(M5:M917))</f>
        <v/>
      </c>
      <c r="AB67" s="5"/>
      <c r="AC67" s="6" t="s">
        <v>11</v>
      </c>
      <c r="AD67" s="57" t="str">
        <f>Y67</f>
        <v/>
      </c>
      <c r="AI67" s="50"/>
      <c r="AJ67" s="50"/>
      <c r="AK67" s="50"/>
      <c r="AL67" s="50"/>
      <c r="AM67" s="50"/>
      <c r="AN67" s="51"/>
      <c r="AO67" s="68"/>
      <c r="AP67" s="86" t="s">
        <v>3554</v>
      </c>
      <c r="AQ67" s="86"/>
      <c r="AR67" s="86" t="s">
        <v>2776</v>
      </c>
      <c r="AS67" s="66"/>
      <c r="AT67" s="86"/>
      <c r="AU67" s="87" t="s">
        <v>2798</v>
      </c>
      <c r="AV67" s="75"/>
      <c r="AW67" s="50"/>
      <c r="AX67" s="50"/>
      <c r="AY67" s="50"/>
      <c r="AZ67" s="50"/>
      <c r="BA67" s="50"/>
      <c r="BB67" s="50"/>
      <c r="BC67" s="50"/>
      <c r="BD67" s="97"/>
      <c r="BE67" s="206" t="s">
        <v>4002</v>
      </c>
      <c r="BF67" s="125"/>
      <c r="BG67" s="126"/>
      <c r="BN67" s="97"/>
      <c r="BO67" s="166"/>
      <c r="BR67" s="235"/>
      <c r="BS67" s="304"/>
      <c r="BZ67" s="235"/>
      <c r="CA67" s="304"/>
      <c r="CJ67" s="123"/>
      <c r="CK67" s="38" t="s">
        <v>2859</v>
      </c>
      <c r="CL67" s="128">
        <f>CL65+CL66</f>
        <v>1</v>
      </c>
      <c r="CM67" s="127"/>
      <c r="CN67" s="38" t="s">
        <v>2859</v>
      </c>
      <c r="CO67" s="128">
        <f>CO65+CO66</f>
        <v>1</v>
      </c>
      <c r="CP67" s="127"/>
      <c r="CQ67" s="6"/>
      <c r="CR67" s="138"/>
      <c r="CS67" s="6"/>
      <c r="CT67" s="6"/>
      <c r="CW67" s="170"/>
      <c r="CX67" s="6"/>
      <c r="CY67" s="108" t="s">
        <v>3147</v>
      </c>
      <c r="CZ67" s="6"/>
      <c r="DA67" s="6"/>
      <c r="DB67" s="6"/>
      <c r="DC67" s="182"/>
      <c r="DE67" s="1" t="s">
        <v>2955</v>
      </c>
      <c r="DF67" s="404">
        <f>IF(DF65&lt;9,DF65,0)</f>
        <v>0</v>
      </c>
      <c r="DG67" s="1" t="s">
        <v>2931</v>
      </c>
      <c r="DH67" s="1">
        <f t="shared" si="3"/>
        <v>0</v>
      </c>
      <c r="DI67" s="1" t="s">
        <v>2956</v>
      </c>
      <c r="DJ67" s="170">
        <f>IF(DH67&gt;0,8,0)</f>
        <v>0</v>
      </c>
      <c r="DK67" s="182"/>
      <c r="DM67" s="2"/>
      <c r="DN67" s="37" t="s">
        <v>3341</v>
      </c>
      <c r="DO67" s="37" t="s">
        <v>3341</v>
      </c>
      <c r="DP67" s="37" t="s">
        <v>503</v>
      </c>
      <c r="DQ67" s="37" t="s">
        <v>3342</v>
      </c>
      <c r="DR67" s="37" t="s">
        <v>3343</v>
      </c>
      <c r="DS67" s="22"/>
      <c r="DT67" s="6"/>
      <c r="DZ67" s="48"/>
      <c r="ED67" s="50"/>
      <c r="EE67" s="50"/>
      <c r="EF67" s="50"/>
      <c r="EG67" s="438"/>
      <c r="EH67" s="503"/>
      <c r="EI67" s="144"/>
      <c r="EJ67" s="144"/>
      <c r="EK67" s="144"/>
      <c r="EL67" s="50"/>
      <c r="EM67" s="438"/>
      <c r="EN67" s="337"/>
      <c r="EO67" s="50"/>
      <c r="EP67" s="50"/>
      <c r="EQ67" s="50"/>
      <c r="ER67" s="50"/>
      <c r="ET67" s="97"/>
      <c r="EU67" s="95" t="s">
        <v>3241</v>
      </c>
      <c r="EV67" s="118">
        <f>LOOKUP(EV24,(EV52:EV58),(FA52:FA58))</f>
        <v>0</v>
      </c>
      <c r="EW67" s="128"/>
      <c r="FH67" s="97"/>
      <c r="FK67" s="135"/>
      <c r="FY67" s="2"/>
      <c r="FZ67" s="37" t="s">
        <v>3338</v>
      </c>
      <c r="GA67" s="37" t="s">
        <v>3338</v>
      </c>
      <c r="GB67" s="37" t="s">
        <v>3216</v>
      </c>
      <c r="GC67" s="37" t="s">
        <v>3832</v>
      </c>
      <c r="GD67" s="37" t="s">
        <v>492</v>
      </c>
      <c r="GF67" s="22"/>
      <c r="GL67" s="48"/>
      <c r="GV67" s="128"/>
      <c r="GW67" s="4"/>
      <c r="GX67" s="37" t="s">
        <v>2710</v>
      </c>
      <c r="GY67" s="37" t="s">
        <v>2710</v>
      </c>
      <c r="GZ67" s="37" t="s">
        <v>2711</v>
      </c>
      <c r="HA67" s="37" t="s">
        <v>2710</v>
      </c>
      <c r="HB67" s="37" t="s">
        <v>3234</v>
      </c>
      <c r="HC67" s="37"/>
      <c r="HJ67" s="48"/>
      <c r="HK67" s="170"/>
      <c r="HM67" s="1" t="s">
        <v>3833</v>
      </c>
      <c r="HN67" s="1">
        <f>IF(HN19=HM67,8,0)</f>
        <v>0</v>
      </c>
      <c r="IB67" s="170"/>
      <c r="IC67" s="405"/>
      <c r="ID67" s="527" t="s">
        <v>726</v>
      </c>
      <c r="IE67" s="528" t="s">
        <v>726</v>
      </c>
      <c r="IF67" s="37" t="s">
        <v>3834</v>
      </c>
      <c r="IG67" s="37"/>
      <c r="IH67" s="37"/>
      <c r="II67" s="1"/>
      <c r="IJ67" s="1"/>
      <c r="IK67" s="1"/>
      <c r="IL67" s="1"/>
      <c r="IM67" s="405"/>
      <c r="IN67" s="178"/>
      <c r="IO67" s="1"/>
      <c r="IP67" s="1" t="s">
        <v>3775</v>
      </c>
      <c r="IQ67" s="205">
        <f>IF(IQ66&lt;100,0,3)</f>
        <v>0</v>
      </c>
      <c r="IR67" s="1"/>
      <c r="IS67" s="1"/>
      <c r="IT67" s="65">
        <v>4</v>
      </c>
      <c r="IU67" s="141"/>
      <c r="IV67" s="65" t="str">
        <f>""</f>
        <v/>
      </c>
      <c r="IW67" s="65" t="str">
        <f>""</f>
        <v/>
      </c>
      <c r="IX67" s="65" t="str">
        <f>""</f>
        <v/>
      </c>
      <c r="IY67" s="190">
        <f>IR61</f>
        <v>0</v>
      </c>
      <c r="IZ67" s="1"/>
      <c r="JA67" s="1"/>
      <c r="JB67" s="1"/>
      <c r="JC67" s="178"/>
      <c r="JD67" s="135"/>
    </row>
    <row r="68" spans="9:264">
      <c r="I68" s="22"/>
      <c r="J68" s="156" t="s">
        <v>211</v>
      </c>
      <c r="K68" s="156" t="s">
        <v>211</v>
      </c>
      <c r="L68" s="22">
        <v>1</v>
      </c>
      <c r="M68" s="22">
        <v>9</v>
      </c>
      <c r="N68" s="22">
        <v>43.9</v>
      </c>
      <c r="O68" s="22">
        <v>35</v>
      </c>
      <c r="P68" s="22">
        <v>37</v>
      </c>
      <c r="Q68" s="22">
        <v>14</v>
      </c>
      <c r="R68" s="22" t="s">
        <v>212</v>
      </c>
      <c r="S68" s="22" t="s">
        <v>213</v>
      </c>
      <c r="V68" s="4"/>
      <c r="X68" s="128" t="s">
        <v>2841</v>
      </c>
      <c r="Y68" s="192" t="str">
        <f>LOOKUP(Y63,(J5:J917),(N5:N917))</f>
        <v/>
      </c>
      <c r="AB68" s="5"/>
      <c r="AC68" s="6" t="s">
        <v>2858</v>
      </c>
      <c r="AD68" s="57" t="str">
        <f>Y68</f>
        <v/>
      </c>
      <c r="AI68" s="50"/>
      <c r="AJ68" s="50"/>
      <c r="AK68" s="50"/>
      <c r="AL68" s="50"/>
      <c r="AM68" s="50"/>
      <c r="AN68" s="51"/>
      <c r="AO68" s="68"/>
      <c r="AP68" s="79" t="s">
        <v>3555</v>
      </c>
      <c r="AQ68" s="73" t="str">
        <f>BU119</f>
        <v/>
      </c>
      <c r="AR68" s="88" t="s">
        <v>2799</v>
      </c>
      <c r="AS68" s="81" t="str">
        <f>CB125</f>
        <v/>
      </c>
      <c r="AT68" s="79" t="s">
        <v>2800</v>
      </c>
      <c r="AU68" s="73" t="str">
        <f>CD119</f>
        <v/>
      </c>
      <c r="AV68" s="75"/>
      <c r="AW68" s="50"/>
      <c r="AX68" s="50"/>
      <c r="AY68" s="50"/>
      <c r="AZ68" s="50"/>
      <c r="BA68" s="50"/>
      <c r="BB68" s="50"/>
      <c r="BC68" s="50"/>
      <c r="BD68" s="97"/>
      <c r="BE68" s="38" t="s">
        <v>4010</v>
      </c>
      <c r="BF68" s="65">
        <f>EJ68</f>
        <v>2</v>
      </c>
      <c r="BG68" s="127"/>
      <c r="BN68" s="97"/>
      <c r="BO68" s="166"/>
      <c r="BS68" s="201" t="s">
        <v>2862</v>
      </c>
      <c r="CA68" s="201" t="s">
        <v>2862</v>
      </c>
      <c r="CJ68" s="123"/>
      <c r="CK68" s="38" t="s">
        <v>3048</v>
      </c>
      <c r="CL68" s="180" t="str">
        <f>IF(CL67=0,CL63,"")</f>
        <v/>
      </c>
      <c r="CM68" s="127"/>
      <c r="CN68" s="38" t="s">
        <v>3048</v>
      </c>
      <c r="CO68" s="180" t="str">
        <f>IF(CO67=0,CO63,"")</f>
        <v/>
      </c>
      <c r="CP68" s="127"/>
      <c r="CQ68" s="6"/>
      <c r="CR68" s="138"/>
      <c r="CS68" s="231" t="s">
        <v>2823</v>
      </c>
      <c r="CT68" s="232"/>
      <c r="CW68" s="170"/>
      <c r="CX68" s="6"/>
      <c r="CY68" s="108" t="s">
        <v>3148</v>
      </c>
      <c r="CZ68" s="6"/>
      <c r="DA68" s="6"/>
      <c r="DB68" s="6"/>
      <c r="DC68" s="182"/>
      <c r="DE68" s="1" t="s">
        <v>2957</v>
      </c>
      <c r="DF68" s="404">
        <f>IF(DF65&lt;8,DF65,0)</f>
        <v>0</v>
      </c>
      <c r="DG68" s="1" t="s">
        <v>2931</v>
      </c>
      <c r="DH68" s="1">
        <f t="shared" si="3"/>
        <v>0</v>
      </c>
      <c r="DI68" s="1" t="s">
        <v>2958</v>
      </c>
      <c r="DJ68" s="170">
        <f>IF(DH68&gt;0,7,0)</f>
        <v>0</v>
      </c>
      <c r="DK68" s="182"/>
      <c r="DM68" s="2"/>
      <c r="DN68" s="37" t="s">
        <v>503</v>
      </c>
      <c r="DO68" s="37" t="s">
        <v>503</v>
      </c>
      <c r="DP68" s="37" t="s">
        <v>503</v>
      </c>
      <c r="DQ68" s="37" t="s">
        <v>3342</v>
      </c>
      <c r="DR68" s="37" t="s">
        <v>3343</v>
      </c>
      <c r="DS68" s="22"/>
      <c r="DT68" s="6"/>
      <c r="DZ68" s="48"/>
      <c r="ED68" s="50"/>
      <c r="EE68" s="50"/>
      <c r="EF68" s="50"/>
      <c r="EG68" s="438"/>
      <c r="EH68" s="114"/>
      <c r="EI68" s="587"/>
      <c r="EJ68" s="588">
        <f>IF(EN66=1,EJ65,"Γράφουμε μόνο το 1 ή το 2")</f>
        <v>2</v>
      </c>
      <c r="EK68" s="587"/>
      <c r="EL68" s="327"/>
      <c r="EM68" s="589"/>
      <c r="EN68" s="337"/>
      <c r="EO68" s="50"/>
      <c r="EP68" s="50"/>
      <c r="EQ68" s="50"/>
      <c r="ER68" s="50"/>
      <c r="ET68" s="97"/>
      <c r="EV68" s="6"/>
      <c r="FH68" s="97"/>
      <c r="FK68" s="135"/>
      <c r="FY68" s="2"/>
      <c r="FZ68" s="37" t="s">
        <v>3215</v>
      </c>
      <c r="GA68" s="37" t="s">
        <v>3215</v>
      </c>
      <c r="GB68" s="37" t="s">
        <v>3216</v>
      </c>
      <c r="GC68" s="37" t="s">
        <v>3832</v>
      </c>
      <c r="GD68" s="37" t="s">
        <v>492</v>
      </c>
      <c r="GF68" s="22"/>
      <c r="GL68" s="48"/>
      <c r="GV68" s="128"/>
      <c r="GW68" s="4"/>
      <c r="GX68" s="37" t="s">
        <v>2327</v>
      </c>
      <c r="GY68" s="37" t="s">
        <v>2327</v>
      </c>
      <c r="GZ68" s="37" t="s">
        <v>2328</v>
      </c>
      <c r="HA68" s="37" t="s">
        <v>2327</v>
      </c>
      <c r="HB68" s="37" t="s">
        <v>2325</v>
      </c>
      <c r="HC68" s="37"/>
      <c r="HJ68" s="48"/>
      <c r="HK68" s="170"/>
      <c r="HM68" s="1" t="s">
        <v>3835</v>
      </c>
      <c r="HN68" s="1">
        <f>IF(HN19=HM68,8,0)</f>
        <v>0</v>
      </c>
      <c r="IB68" s="170"/>
      <c r="IC68" s="405"/>
      <c r="ID68" s="527" t="s">
        <v>677</v>
      </c>
      <c r="IE68" s="528" t="s">
        <v>677</v>
      </c>
      <c r="IF68" s="37" t="s">
        <v>3836</v>
      </c>
      <c r="IG68" s="37"/>
      <c r="IH68" s="37"/>
      <c r="II68" s="1"/>
      <c r="IJ68" s="1"/>
      <c r="IK68" s="1"/>
      <c r="IL68" s="1"/>
      <c r="IM68" s="405"/>
      <c r="IN68" s="178"/>
      <c r="IO68" s="1"/>
      <c r="IP68" s="1" t="s">
        <v>3821</v>
      </c>
      <c r="IQ68" s="205">
        <f>IF(IR61&lt;1000,0,4)</f>
        <v>0</v>
      </c>
      <c r="IR68" s="1"/>
      <c r="IS68" s="1"/>
      <c r="IT68" s="187">
        <f>IQ61</f>
        <v>0</v>
      </c>
      <c r="IU68" s="141" t="s">
        <v>2069</v>
      </c>
      <c r="IV68" s="65" t="str">
        <f>LOOKUP(IT62,(IT63:IT67),(IV63:IV67))</f>
        <v>κ</v>
      </c>
      <c r="IW68" s="65" t="str">
        <f>LOOKUP(IT62,(IT63:IT67),(IW63:IW67))</f>
        <v>κ</v>
      </c>
      <c r="IX68" s="65" t="str">
        <f>LOOKUP(IT62,(IT63:IT67),(IX63:IX67))</f>
        <v>κ</v>
      </c>
      <c r="IY68" s="118" t="str">
        <f>CONCATENATE(IT68,IU68,IV68,IW68,IX68,IY67)</f>
        <v>0 κκκ0</v>
      </c>
      <c r="IZ68" s="1"/>
      <c r="JA68" s="1"/>
      <c r="JB68" s="1"/>
      <c r="JC68" s="178"/>
      <c r="JD68" s="135"/>
    </row>
    <row r="69" spans="9:264" ht="15.75">
      <c r="I69" s="22"/>
      <c r="J69" s="156" t="s">
        <v>214</v>
      </c>
      <c r="K69" s="156" t="s">
        <v>214</v>
      </c>
      <c r="L69" s="22">
        <v>2</v>
      </c>
      <c r="M69" s="22">
        <v>3</v>
      </c>
      <c r="N69" s="22">
        <v>54</v>
      </c>
      <c r="O69" s="22">
        <v>42</v>
      </c>
      <c r="P69" s="22">
        <v>19</v>
      </c>
      <c r="Q69" s="22">
        <v>47</v>
      </c>
      <c r="R69" s="22" t="s">
        <v>215</v>
      </c>
      <c r="S69" s="22" t="s">
        <v>216</v>
      </c>
      <c r="V69" s="4"/>
      <c r="X69" s="168" t="s">
        <v>2842</v>
      </c>
      <c r="AB69" s="5"/>
      <c r="AC69" s="145" t="s">
        <v>2798</v>
      </c>
      <c r="AI69" s="50"/>
      <c r="AJ69" s="50"/>
      <c r="AK69" s="50"/>
      <c r="AL69" s="50"/>
      <c r="AM69" s="50"/>
      <c r="AN69" s="51"/>
      <c r="AO69" s="68"/>
      <c r="AP69" s="79" t="s">
        <v>3556</v>
      </c>
      <c r="AQ69" s="73" t="str">
        <f>BV119</f>
        <v/>
      </c>
      <c r="AR69" s="82" t="str">
        <f>CB127</f>
        <v/>
      </c>
      <c r="AS69" s="83"/>
      <c r="AT69" s="79" t="s">
        <v>2801</v>
      </c>
      <c r="AU69" s="73" t="str">
        <f>CE119</f>
        <v/>
      </c>
      <c r="AV69" s="75"/>
      <c r="AW69" s="50"/>
      <c r="AX69" s="50"/>
      <c r="AY69" s="50"/>
      <c r="AZ69" s="50"/>
      <c r="BA69" s="50"/>
      <c r="BB69" s="50"/>
      <c r="BC69" s="50"/>
      <c r="BD69" s="97"/>
      <c r="BE69" s="38" t="s">
        <v>2818</v>
      </c>
      <c r="BF69" s="128" t="b">
        <f>ISNUMBER(BF68)</f>
        <v>1</v>
      </c>
      <c r="BG69" s="127" t="b">
        <v>0</v>
      </c>
      <c r="BN69" s="97"/>
      <c r="BO69" s="291"/>
      <c r="BQ69" s="245" t="s">
        <v>3185</v>
      </c>
      <c r="BR69" s="305"/>
      <c r="BS69" s="306" t="str">
        <f>CT65</f>
        <v/>
      </c>
      <c r="BY69" s="246" t="s">
        <v>3187</v>
      </c>
      <c r="BZ69" s="260"/>
      <c r="CA69" s="307" t="str">
        <f>CT117</f>
        <v/>
      </c>
      <c r="CJ69" s="123"/>
      <c r="CK69" s="6"/>
      <c r="CL69" s="6"/>
      <c r="CM69" s="142"/>
      <c r="CN69" s="267" t="s">
        <v>3116</v>
      </c>
      <c r="CO69" s="6"/>
      <c r="CP69" s="142"/>
      <c r="CQ69" s="6"/>
      <c r="CR69" s="138"/>
      <c r="CS69" s="133" t="s">
        <v>3057</v>
      </c>
      <c r="CT69" s="127"/>
      <c r="CW69" s="170"/>
      <c r="CX69" s="6"/>
      <c r="CY69" s="6" t="s">
        <v>3149</v>
      </c>
      <c r="CZ69" s="57">
        <f>IF(CZ66=0,CZ47,"")</f>
        <v>0</v>
      </c>
      <c r="DA69" s="6"/>
      <c r="DB69" s="6"/>
      <c r="DC69" s="182"/>
      <c r="DE69" s="1" t="s">
        <v>2959</v>
      </c>
      <c r="DF69" s="404">
        <f>IF(DF65&lt;7,DF65,0)</f>
        <v>0</v>
      </c>
      <c r="DG69" s="1" t="s">
        <v>2931</v>
      </c>
      <c r="DH69" s="1">
        <f t="shared" si="3"/>
        <v>0</v>
      </c>
      <c r="DI69" s="1" t="s">
        <v>2960</v>
      </c>
      <c r="DJ69" s="170">
        <f>IF(DH69&gt;0,6,0)</f>
        <v>0</v>
      </c>
      <c r="DK69" s="182"/>
      <c r="DM69" s="2"/>
      <c r="DN69" s="37" t="s">
        <v>3344</v>
      </c>
      <c r="DO69" s="37" t="s">
        <v>3344</v>
      </c>
      <c r="DP69" s="37" t="s">
        <v>520</v>
      </c>
      <c r="DQ69" s="37" t="s">
        <v>3345</v>
      </c>
      <c r="DR69" s="37" t="s">
        <v>521</v>
      </c>
      <c r="DS69" s="22"/>
      <c r="DT69" s="6"/>
      <c r="DZ69" s="48"/>
      <c r="ED69" s="50"/>
      <c r="EE69" s="50"/>
      <c r="EF69" s="50"/>
      <c r="EG69" s="50"/>
      <c r="EH69" s="63"/>
      <c r="EI69" s="63"/>
      <c r="EJ69" s="63"/>
      <c r="EK69" s="63"/>
      <c r="EL69" s="63"/>
      <c r="EM69" s="63"/>
      <c r="EN69" s="50"/>
      <c r="EO69" s="50"/>
      <c r="EP69" s="50"/>
      <c r="EQ69" s="50"/>
      <c r="ER69" s="50"/>
      <c r="ET69" s="97"/>
      <c r="FH69" s="97"/>
      <c r="FK69" s="135"/>
      <c r="FY69" s="2"/>
      <c r="FZ69" s="37" t="s">
        <v>3340</v>
      </c>
      <c r="GA69" s="37" t="s">
        <v>3340</v>
      </c>
      <c r="GB69" s="37" t="s">
        <v>3216</v>
      </c>
      <c r="GC69" s="37" t="s">
        <v>3832</v>
      </c>
      <c r="GD69" s="37" t="s">
        <v>492</v>
      </c>
      <c r="GF69" s="22"/>
      <c r="GL69" s="48"/>
      <c r="GV69" s="128"/>
      <c r="GW69" s="4"/>
      <c r="GX69" s="37" t="s">
        <v>2286</v>
      </c>
      <c r="GY69" s="37" t="s">
        <v>2286</v>
      </c>
      <c r="GZ69" s="37" t="s">
        <v>2287</v>
      </c>
      <c r="HA69" s="37" t="s">
        <v>2286</v>
      </c>
      <c r="HB69" s="37" t="s">
        <v>3229</v>
      </c>
      <c r="HC69" s="37"/>
      <c r="HJ69" s="48"/>
      <c r="HK69" s="170"/>
      <c r="HM69" s="1" t="s">
        <v>3688</v>
      </c>
      <c r="HN69" s="170">
        <f>HN64+HN65+HN66+HN67+HN68</f>
        <v>0</v>
      </c>
      <c r="IB69" s="170"/>
      <c r="IC69" s="405"/>
      <c r="ID69" s="527" t="s">
        <v>2392</v>
      </c>
      <c r="IE69" s="528" t="s">
        <v>2392</v>
      </c>
      <c r="IF69" s="37" t="s">
        <v>3837</v>
      </c>
      <c r="IG69" s="37"/>
      <c r="IH69" s="37"/>
      <c r="II69" s="1"/>
      <c r="IJ69" s="1"/>
      <c r="IK69" s="1"/>
      <c r="IL69" s="1"/>
      <c r="IM69" s="405"/>
      <c r="IN69" s="178"/>
      <c r="IO69" s="1"/>
      <c r="IP69" s="1" t="s">
        <v>3688</v>
      </c>
      <c r="IQ69" s="548">
        <f>IQ63+IQ65+IQ67+IQ68</f>
        <v>0</v>
      </c>
      <c r="IR69" s="1"/>
      <c r="IS69" s="1"/>
      <c r="IT69" s="1"/>
      <c r="IU69" s="1"/>
      <c r="IV69" s="1"/>
      <c r="IW69" s="1"/>
      <c r="IX69" s="1"/>
      <c r="IY69" s="1"/>
      <c r="IZ69" s="1"/>
      <c r="JA69" s="1"/>
      <c r="JB69" s="1"/>
      <c r="JC69" s="178"/>
      <c r="JD69" s="135"/>
    </row>
    <row r="70" spans="9:264" ht="20.25">
      <c r="I70" s="22"/>
      <c r="J70" s="156" t="s">
        <v>217</v>
      </c>
      <c r="K70" s="156" t="s">
        <v>217</v>
      </c>
      <c r="L70" s="22">
        <v>0</v>
      </c>
      <c r="M70" s="22">
        <v>39</v>
      </c>
      <c r="N70" s="22">
        <v>19.7</v>
      </c>
      <c r="O70" s="22">
        <v>30</v>
      </c>
      <c r="P70" s="22">
        <v>51</v>
      </c>
      <c r="Q70" s="22">
        <v>40</v>
      </c>
      <c r="R70" s="22" t="s">
        <v>218</v>
      </c>
      <c r="S70" s="22" t="s">
        <v>219</v>
      </c>
      <c r="V70" s="4"/>
      <c r="X70" s="128" t="s">
        <v>2843</v>
      </c>
      <c r="Y70" s="192" t="str">
        <f>LOOKUP(Y63,(J5:J917),(O5:O917))</f>
        <v/>
      </c>
      <c r="AB70" s="5"/>
      <c r="AC70" s="6" t="s">
        <v>2875</v>
      </c>
      <c r="AD70" s="57" t="str">
        <f>Y70</f>
        <v/>
      </c>
      <c r="AI70" s="50"/>
      <c r="AJ70" s="50"/>
      <c r="AK70" s="50"/>
      <c r="AL70" s="50"/>
      <c r="AM70" s="50"/>
      <c r="AN70" s="51"/>
      <c r="AO70" s="68"/>
      <c r="AP70" s="79" t="s">
        <v>2787</v>
      </c>
      <c r="AQ70" s="369" t="str">
        <f>BW119</f>
        <v/>
      </c>
      <c r="AR70" s="89" t="s">
        <v>2796</v>
      </c>
      <c r="AS70" s="84" t="str">
        <f>CB126</f>
        <v/>
      </c>
      <c r="AT70" s="79" t="s">
        <v>2789</v>
      </c>
      <c r="AU70" s="369" t="str">
        <f>CF119</f>
        <v/>
      </c>
      <c r="AV70" s="75"/>
      <c r="AW70" s="50"/>
      <c r="AX70" s="50"/>
      <c r="AY70" s="50"/>
      <c r="AZ70" s="50"/>
      <c r="BA70" s="50"/>
      <c r="BB70" s="50"/>
      <c r="BC70" s="50"/>
      <c r="BD70" s="97"/>
      <c r="BE70" s="38" t="s">
        <v>4003</v>
      </c>
      <c r="BF70" s="129">
        <f>IF(BF68=BG69,1,BF68)</f>
        <v>2</v>
      </c>
      <c r="BG70" s="127"/>
      <c r="BN70" s="97"/>
      <c r="BO70" s="166"/>
      <c r="BQ70" s="245" t="s">
        <v>3186</v>
      </c>
      <c r="BR70" s="305"/>
      <c r="BS70" s="306" t="str">
        <f>CT66</f>
        <v/>
      </c>
      <c r="BY70" s="246" t="s">
        <v>3191</v>
      </c>
      <c r="BZ70" s="260"/>
      <c r="CA70" s="307" t="str">
        <f>CT118</f>
        <v/>
      </c>
      <c r="CJ70" s="123"/>
      <c r="CK70" s="6"/>
      <c r="CL70" s="6"/>
      <c r="CM70" s="6"/>
      <c r="CN70" s="268" t="s">
        <v>3141</v>
      </c>
      <c r="CO70" s="269">
        <f>IF(CO53=0,2,0)</f>
        <v>0</v>
      </c>
      <c r="CP70" s="142"/>
      <c r="CQ70" s="6"/>
      <c r="CR70" s="138"/>
      <c r="CS70" s="38" t="s">
        <v>3058</v>
      </c>
      <c r="CT70" s="127"/>
      <c r="CW70" s="170"/>
      <c r="CX70" s="6"/>
      <c r="CY70" s="6" t="s">
        <v>3150</v>
      </c>
      <c r="CZ70" s="57">
        <f>IF(CZ66=0,CZ48,"")</f>
        <v>0</v>
      </c>
      <c r="DA70" s="6"/>
      <c r="DB70" s="6"/>
      <c r="DC70" s="182"/>
      <c r="DE70" s="1" t="s">
        <v>2961</v>
      </c>
      <c r="DF70" s="404">
        <f>IF(DF65&lt;6,DF65,0)</f>
        <v>0</v>
      </c>
      <c r="DG70" s="1" t="s">
        <v>2931</v>
      </c>
      <c r="DH70" s="1">
        <f t="shared" si="3"/>
        <v>0</v>
      </c>
      <c r="DI70" s="1" t="s">
        <v>2962</v>
      </c>
      <c r="DJ70" s="170">
        <f>IF(DH70&gt;0,5,0)</f>
        <v>0</v>
      </c>
      <c r="DK70" s="182"/>
      <c r="DM70" s="2"/>
      <c r="DN70" s="37" t="s">
        <v>520</v>
      </c>
      <c r="DO70" s="37" t="s">
        <v>520</v>
      </c>
      <c r="DP70" s="37" t="s">
        <v>520</v>
      </c>
      <c r="DQ70" s="37" t="s">
        <v>3345</v>
      </c>
      <c r="DR70" s="37" t="s">
        <v>521</v>
      </c>
      <c r="DS70" s="22"/>
      <c r="DT70" s="6"/>
      <c r="DZ70" s="48"/>
      <c r="ED70" s="50"/>
      <c r="EE70" s="50"/>
      <c r="EF70" s="50"/>
      <c r="EG70" s="50"/>
      <c r="EH70" s="327"/>
      <c r="EI70" s="327"/>
      <c r="EJ70" s="327"/>
      <c r="EK70" s="327"/>
      <c r="EL70" s="327"/>
      <c r="EM70" s="327"/>
      <c r="EN70" s="50"/>
      <c r="EO70" s="50"/>
      <c r="EP70" s="50"/>
      <c r="EQ70" s="50"/>
      <c r="ER70" s="50"/>
      <c r="ET70" s="97"/>
      <c r="EU70" s="108" t="s">
        <v>4022</v>
      </c>
      <c r="FH70" s="97"/>
      <c r="FK70" s="135"/>
      <c r="FY70" s="2"/>
      <c r="FZ70" s="37" t="s">
        <v>3216</v>
      </c>
      <c r="GA70" s="37" t="s">
        <v>3216</v>
      </c>
      <c r="GB70" s="37" t="s">
        <v>3216</v>
      </c>
      <c r="GC70" s="37" t="s">
        <v>3832</v>
      </c>
      <c r="GD70" s="37" t="s">
        <v>492</v>
      </c>
      <c r="GF70" s="22"/>
      <c r="GL70" s="48"/>
      <c r="GV70" s="128"/>
      <c r="GW70" s="4"/>
      <c r="GX70" s="37" t="s">
        <v>3838</v>
      </c>
      <c r="GY70" s="37" t="s">
        <v>3838</v>
      </c>
      <c r="GZ70" s="37" t="s">
        <v>2693</v>
      </c>
      <c r="HA70" s="37" t="s">
        <v>3838</v>
      </c>
      <c r="HB70" s="37" t="s">
        <v>2690</v>
      </c>
      <c r="HC70" s="37"/>
      <c r="HJ70" s="48"/>
      <c r="HK70" s="170"/>
      <c r="HM70" s="191">
        <v>9</v>
      </c>
      <c r="IB70" s="170"/>
      <c r="IC70" s="405"/>
      <c r="ID70" s="527" t="s">
        <v>2403</v>
      </c>
      <c r="IE70" s="528" t="s">
        <v>2403</v>
      </c>
      <c r="IF70" s="37" t="s">
        <v>3839</v>
      </c>
      <c r="IG70" s="37"/>
      <c r="IH70" s="37"/>
      <c r="II70" s="1"/>
      <c r="IJ70" s="1"/>
      <c r="IK70" s="1"/>
      <c r="IL70" s="1"/>
      <c r="IM70" s="405"/>
      <c r="IN70" s="178"/>
      <c r="IO70" s="1"/>
      <c r="IP70" s="1"/>
      <c r="IQ70" s="1"/>
      <c r="IR70" s="1"/>
      <c r="IS70" s="1"/>
      <c r="IT70" s="1"/>
      <c r="IU70" s="1"/>
      <c r="IV70" s="1"/>
      <c r="IW70" s="1"/>
      <c r="IX70" s="1"/>
      <c r="IY70" s="1"/>
      <c r="IZ70" s="1"/>
      <c r="JA70" s="1"/>
      <c r="JB70" s="1"/>
      <c r="JC70" s="178"/>
      <c r="JD70" s="135"/>
    </row>
    <row r="71" spans="9:264">
      <c r="I71" s="22"/>
      <c r="J71" s="156" t="s">
        <v>220</v>
      </c>
      <c r="K71" s="156" t="s">
        <v>220</v>
      </c>
      <c r="L71" s="22">
        <v>23</v>
      </c>
      <c r="M71" s="22">
        <v>38</v>
      </c>
      <c r="N71" s="22">
        <v>8.1999999999999993</v>
      </c>
      <c r="O71" s="22">
        <v>43</v>
      </c>
      <c r="P71" s="22">
        <v>16</v>
      </c>
      <c r="Q71" s="22">
        <v>5</v>
      </c>
      <c r="R71" s="22" t="s">
        <v>221</v>
      </c>
      <c r="S71" s="22" t="s">
        <v>222</v>
      </c>
      <c r="V71" s="4"/>
      <c r="X71" s="128" t="s">
        <v>2840</v>
      </c>
      <c r="Y71" s="192" t="str">
        <f>LOOKUP(Y63,(J5:J917),(P5:P917))</f>
        <v/>
      </c>
      <c r="AB71" s="5"/>
      <c r="AC71" s="6" t="s">
        <v>11</v>
      </c>
      <c r="AD71" s="57" t="str">
        <f>Y71</f>
        <v/>
      </c>
      <c r="AI71" s="50"/>
      <c r="AJ71" s="50"/>
      <c r="AK71" s="50"/>
      <c r="AL71" s="50"/>
      <c r="AM71" s="50"/>
      <c r="AN71" s="51"/>
      <c r="AO71" s="68"/>
      <c r="AP71" s="90" t="s">
        <v>3557</v>
      </c>
      <c r="AQ71" s="367" t="str">
        <f>BX119</f>
        <v/>
      </c>
      <c r="AR71" s="91" t="s">
        <v>3246</v>
      </c>
      <c r="AS71" s="92"/>
      <c r="AT71" s="77" t="s">
        <v>2790</v>
      </c>
      <c r="AU71" s="367" t="str">
        <f>CG119</f>
        <v/>
      </c>
      <c r="AV71" s="75"/>
      <c r="AW71" s="50"/>
      <c r="AX71" s="50"/>
      <c r="AY71" s="50"/>
      <c r="AZ71" s="50"/>
      <c r="BA71" s="50"/>
      <c r="BB71" s="50"/>
      <c r="BC71" s="50"/>
      <c r="BD71" s="97"/>
      <c r="BE71" s="38" t="s">
        <v>4005</v>
      </c>
      <c r="BF71" s="128"/>
      <c r="BG71" s="127"/>
      <c r="BN71" s="97"/>
      <c r="BO71" s="166"/>
      <c r="BR71" s="235"/>
      <c r="BS71" s="304"/>
      <c r="BZ71" s="235"/>
      <c r="CA71" s="304"/>
      <c r="CJ71" s="123"/>
      <c r="CK71" s="108" t="s">
        <v>3116</v>
      </c>
      <c r="CL71" s="6"/>
      <c r="CM71" s="128"/>
      <c r="CN71" s="270" t="s">
        <v>3129</v>
      </c>
      <c r="CO71" s="269">
        <f>IF(CO63&gt;90,5,0)</f>
        <v>0</v>
      </c>
      <c r="CP71" s="127"/>
      <c r="CQ71" s="6"/>
      <c r="CR71" s="138"/>
      <c r="CS71" s="38" t="s">
        <v>3059</v>
      </c>
      <c r="CT71" s="127"/>
      <c r="CW71" s="170"/>
      <c r="CX71" s="6"/>
      <c r="CY71" s="6" t="s">
        <v>3151</v>
      </c>
      <c r="CZ71" s="57" t="str">
        <f>IF(CZ66=0,CZ46,"")</f>
        <v xml:space="preserve">          </v>
      </c>
      <c r="DA71" s="6"/>
      <c r="DB71" s="6"/>
      <c r="DC71" s="182"/>
      <c r="DE71" s="1" t="s">
        <v>2963</v>
      </c>
      <c r="DF71" s="404">
        <f>IF(DF65&lt;5,DF65,0)</f>
        <v>0</v>
      </c>
      <c r="DG71" s="1" t="s">
        <v>2931</v>
      </c>
      <c r="DH71" s="1">
        <f t="shared" si="3"/>
        <v>0</v>
      </c>
      <c r="DI71" s="1" t="s">
        <v>2964</v>
      </c>
      <c r="DJ71" s="170">
        <f>IF(DH71&gt;0,4,0)</f>
        <v>0</v>
      </c>
      <c r="DK71" s="182"/>
      <c r="DM71" s="2"/>
      <c r="DN71" s="37" t="s">
        <v>3346</v>
      </c>
      <c r="DO71" s="37" t="s">
        <v>3346</v>
      </c>
      <c r="DP71" s="37" t="s">
        <v>537</v>
      </c>
      <c r="DQ71" s="37" t="s">
        <v>3347</v>
      </c>
      <c r="DR71" s="37" t="s">
        <v>538</v>
      </c>
      <c r="DS71" s="22"/>
      <c r="DT71" s="6"/>
      <c r="DZ71" s="48"/>
      <c r="ED71" s="3"/>
      <c r="EE71" s="50"/>
      <c r="EF71" s="50"/>
      <c r="EG71" s="438"/>
      <c r="EH71" s="590" t="s">
        <v>2813</v>
      </c>
      <c r="EI71" s="301"/>
      <c r="EJ71" s="584" t="s">
        <v>2814</v>
      </c>
      <c r="EK71" s="301"/>
      <c r="EL71" s="5"/>
      <c r="EM71" s="585"/>
      <c r="EN71" s="337"/>
      <c r="EO71" s="50"/>
      <c r="EP71" s="50"/>
      <c r="EQ71" s="50"/>
      <c r="ER71" s="50"/>
      <c r="ET71" s="97"/>
      <c r="EU71" s="1" t="s">
        <v>3884</v>
      </c>
      <c r="FH71" s="97"/>
      <c r="FK71" s="135"/>
      <c r="FY71" s="2"/>
      <c r="FZ71" s="37" t="s">
        <v>3341</v>
      </c>
      <c r="GA71" s="37" t="s">
        <v>3341</v>
      </c>
      <c r="GB71" s="37" t="s">
        <v>503</v>
      </c>
      <c r="GC71" s="37" t="s">
        <v>3840</v>
      </c>
      <c r="GD71" s="37" t="s">
        <v>506</v>
      </c>
      <c r="GF71" s="22"/>
      <c r="GL71" s="48"/>
      <c r="GV71" s="128"/>
      <c r="GW71" s="4"/>
      <c r="GX71" s="37" t="s">
        <v>676</v>
      </c>
      <c r="GY71" s="37" t="s">
        <v>676</v>
      </c>
      <c r="GZ71" s="37" t="s">
        <v>677</v>
      </c>
      <c r="HA71" s="37" t="s">
        <v>676</v>
      </c>
      <c r="HB71" s="37" t="s">
        <v>674</v>
      </c>
      <c r="HC71" s="37"/>
      <c r="HJ71" s="48"/>
      <c r="HK71" s="170"/>
      <c r="HM71" s="1" t="s">
        <v>3841</v>
      </c>
      <c r="IB71" s="170"/>
      <c r="IC71" s="405"/>
      <c r="ID71" s="527" t="s">
        <v>342</v>
      </c>
      <c r="IE71" s="528" t="s">
        <v>342</v>
      </c>
      <c r="IF71" s="37" t="s">
        <v>3842</v>
      </c>
      <c r="IG71" s="37"/>
      <c r="IH71" s="37"/>
      <c r="II71" s="1"/>
      <c r="IJ71" s="1"/>
      <c r="IK71" s="1"/>
      <c r="IL71" s="1"/>
      <c r="IM71" s="405"/>
      <c r="IN71" s="178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78"/>
      <c r="JD71" s="135"/>
    </row>
    <row r="72" spans="9:264">
      <c r="I72" s="22"/>
      <c r="J72" s="156" t="s">
        <v>223</v>
      </c>
      <c r="K72" s="156" t="s">
        <v>223</v>
      </c>
      <c r="L72" s="22">
        <v>23</v>
      </c>
      <c r="M72" s="22">
        <v>40</v>
      </c>
      <c r="N72" s="22">
        <v>24.5</v>
      </c>
      <c r="O72" s="22">
        <v>44</v>
      </c>
      <c r="P72" s="22">
        <v>20</v>
      </c>
      <c r="Q72" s="22">
        <v>2</v>
      </c>
      <c r="R72" s="22" t="s">
        <v>224</v>
      </c>
      <c r="S72" s="22" t="s">
        <v>225</v>
      </c>
      <c r="V72" s="4"/>
      <c r="X72" s="128" t="s">
        <v>2841</v>
      </c>
      <c r="Y72" s="192" t="str">
        <f>LOOKUP(Y63,(J5:J917),(Q5:Q917))</f>
        <v/>
      </c>
      <c r="AB72" s="5"/>
      <c r="AC72" s="6" t="s">
        <v>2858</v>
      </c>
      <c r="AD72" s="57" t="str">
        <f>Y72</f>
        <v/>
      </c>
      <c r="AI72" s="50"/>
      <c r="AJ72" s="50"/>
      <c r="AK72" s="50"/>
      <c r="AL72" s="50"/>
      <c r="AM72" s="50"/>
      <c r="AN72" s="51"/>
      <c r="AO72" s="68"/>
      <c r="AP72" s="93" t="str">
        <f>BS120</f>
        <v/>
      </c>
      <c r="AQ72" s="85"/>
      <c r="AR72" s="71" t="s">
        <v>2803</v>
      </c>
      <c r="AS72" s="468" t="s">
        <v>2758</v>
      </c>
      <c r="AT72" s="70" t="str">
        <f>CB120</f>
        <v/>
      </c>
      <c r="AU72" s="72"/>
      <c r="AV72" s="75"/>
      <c r="AW72" s="50"/>
      <c r="AX72" s="50"/>
      <c r="AY72" s="50"/>
      <c r="AZ72" s="50"/>
      <c r="BA72" s="50"/>
      <c r="BB72" s="50"/>
      <c r="BC72" s="50"/>
      <c r="BD72" s="97"/>
      <c r="BE72" s="38" t="s">
        <v>2794</v>
      </c>
      <c r="BF72" s="57" t="str">
        <f>BF61</f>
        <v>λυρ α</v>
      </c>
      <c r="BG72" s="127"/>
      <c r="BN72" s="97"/>
      <c r="BO72" s="166"/>
      <c r="BP72" s="257"/>
      <c r="BQ72" s="257" t="s">
        <v>3106</v>
      </c>
      <c r="BR72" s="257"/>
      <c r="BS72" s="240" t="s">
        <v>2794</v>
      </c>
      <c r="BT72" s="257"/>
      <c r="BU72" s="257"/>
      <c r="BV72" s="257"/>
      <c r="BW72" s="257"/>
      <c r="BX72" s="257" t="s">
        <v>3124</v>
      </c>
      <c r="BY72" s="257"/>
      <c r="BZ72" s="257"/>
      <c r="CA72" s="257" t="s">
        <v>3179</v>
      </c>
      <c r="CB72" s="257"/>
      <c r="CC72" s="257"/>
      <c r="CD72" s="257"/>
      <c r="CE72" s="257"/>
      <c r="CF72" s="257"/>
      <c r="CG72" s="257"/>
      <c r="CH72" s="257"/>
      <c r="CI72" s="257"/>
      <c r="CJ72" s="123"/>
      <c r="CK72" s="273" t="s">
        <v>3140</v>
      </c>
      <c r="CL72" s="269">
        <f>IF(CL53=0,1,0)</f>
        <v>0</v>
      </c>
      <c r="CM72" s="128"/>
      <c r="CN72" s="270" t="s">
        <v>3117</v>
      </c>
      <c r="CO72" s="102">
        <f>IF(CO63&lt;0,CO63,0)</f>
        <v>0</v>
      </c>
      <c r="CP72" s="127"/>
      <c r="CQ72" s="6"/>
      <c r="CR72" s="138"/>
      <c r="CS72" s="38" t="s">
        <v>3060</v>
      </c>
      <c r="CT72" s="127"/>
      <c r="CW72" s="170"/>
      <c r="CX72" s="6"/>
      <c r="CY72" s="108" t="s">
        <v>3152</v>
      </c>
      <c r="CZ72" s="6"/>
      <c r="DC72" s="182"/>
      <c r="DE72" s="1" t="s">
        <v>2965</v>
      </c>
      <c r="DF72" s="404">
        <f>IF(DF65&lt;4,DF65,0)</f>
        <v>0</v>
      </c>
      <c r="DG72" s="1" t="s">
        <v>2931</v>
      </c>
      <c r="DH72" s="1">
        <f t="shared" si="3"/>
        <v>0</v>
      </c>
      <c r="DI72" s="1" t="s">
        <v>2966</v>
      </c>
      <c r="DJ72" s="170">
        <f>IF(DH72&gt;0,3,0)</f>
        <v>0</v>
      </c>
      <c r="DK72" s="182"/>
      <c r="DM72" s="2"/>
      <c r="DN72" s="37" t="s">
        <v>537</v>
      </c>
      <c r="DO72" s="37" t="s">
        <v>537</v>
      </c>
      <c r="DP72" s="37" t="s">
        <v>537</v>
      </c>
      <c r="DQ72" s="37" t="s">
        <v>3347</v>
      </c>
      <c r="DR72" s="37" t="s">
        <v>538</v>
      </c>
      <c r="DS72" s="22"/>
      <c r="DT72" s="6"/>
      <c r="DZ72" s="48"/>
      <c r="ED72" s="3"/>
      <c r="EE72" s="50"/>
      <c r="EF72" s="50"/>
      <c r="EG72" s="438"/>
      <c r="EH72" s="503" t="s">
        <v>4006</v>
      </c>
      <c r="EI72" s="392"/>
      <c r="EJ72" s="598">
        <v>3</v>
      </c>
      <c r="EK72" s="503"/>
      <c r="EL72" s="50"/>
      <c r="EM72" s="438"/>
      <c r="EN72" s="337"/>
      <c r="EO72" s="50"/>
      <c r="EP72" s="50"/>
      <c r="EQ72" s="50"/>
      <c r="ER72" s="50"/>
      <c r="ET72" s="97"/>
      <c r="FH72" s="97"/>
      <c r="FK72" s="135"/>
      <c r="FY72" s="2"/>
      <c r="FZ72" s="37" t="s">
        <v>503</v>
      </c>
      <c r="GA72" s="37" t="s">
        <v>503</v>
      </c>
      <c r="GB72" s="37" t="s">
        <v>503</v>
      </c>
      <c r="GC72" s="37" t="s">
        <v>3840</v>
      </c>
      <c r="GD72" s="37" t="s">
        <v>506</v>
      </c>
      <c r="GF72" s="22"/>
      <c r="GL72" s="48"/>
      <c r="GV72" s="128"/>
      <c r="GW72" s="4"/>
      <c r="GX72" s="37" t="s">
        <v>725</v>
      </c>
      <c r="GY72" s="37" t="s">
        <v>725</v>
      </c>
      <c r="GZ72" s="37" t="s">
        <v>726</v>
      </c>
      <c r="HA72" s="37" t="s">
        <v>725</v>
      </c>
      <c r="HB72" s="37" t="s">
        <v>721</v>
      </c>
      <c r="HC72" s="37"/>
      <c r="HJ72" s="48"/>
      <c r="HK72" s="170"/>
      <c r="HM72" s="1" t="s">
        <v>3689</v>
      </c>
      <c r="HN72" s="1">
        <f>IF(HN19=HM72,9,0)</f>
        <v>0</v>
      </c>
      <c r="IB72" s="170"/>
      <c r="IC72" s="405"/>
      <c r="ID72" s="527" t="s">
        <v>2420</v>
      </c>
      <c r="IE72" s="528" t="s">
        <v>2420</v>
      </c>
      <c r="IF72" s="37" t="s">
        <v>3843</v>
      </c>
      <c r="IG72" s="37"/>
      <c r="IH72" s="37"/>
      <c r="II72" s="1"/>
      <c r="IJ72" s="1"/>
      <c r="IK72" s="1"/>
      <c r="IL72" s="1"/>
      <c r="IM72" s="405"/>
      <c r="IN72" s="178"/>
      <c r="IO72" s="1"/>
      <c r="IP72" s="108" t="s">
        <v>3829</v>
      </c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78"/>
      <c r="JD72" s="135"/>
    </row>
    <row r="73" spans="9:264">
      <c r="I73" s="22"/>
      <c r="J73" s="156" t="s">
        <v>226</v>
      </c>
      <c r="K73" s="156" t="s">
        <v>226</v>
      </c>
      <c r="L73" s="22">
        <v>23</v>
      </c>
      <c r="M73" s="22">
        <v>37</v>
      </c>
      <c r="N73" s="22">
        <v>33.799999999999997</v>
      </c>
      <c r="O73" s="22">
        <v>46</v>
      </c>
      <c r="P73" s="22">
        <v>27</v>
      </c>
      <c r="Q73" s="22">
        <v>29</v>
      </c>
      <c r="R73" s="22" t="s">
        <v>227</v>
      </c>
      <c r="S73" s="22" t="s">
        <v>228</v>
      </c>
      <c r="V73" s="4"/>
      <c r="X73" s="168" t="s">
        <v>2844</v>
      </c>
      <c r="AB73" s="5"/>
      <c r="AI73" s="327"/>
      <c r="AJ73" s="327"/>
      <c r="AK73" s="327"/>
      <c r="AL73" s="327"/>
      <c r="AM73" s="327"/>
      <c r="AN73" s="338"/>
      <c r="AO73" s="339"/>
      <c r="AP73" s="340" t="str">
        <f>BS121</f>
        <v/>
      </c>
      <c r="AQ73" s="66"/>
      <c r="AR73" s="87" t="s">
        <v>2792</v>
      </c>
      <c r="AS73" s="468" t="s">
        <v>2758</v>
      </c>
      <c r="AT73" s="67" t="str">
        <f>CB121</f>
        <v/>
      </c>
      <c r="AU73" s="77"/>
      <c r="AV73" s="341"/>
      <c r="AW73" s="327"/>
      <c r="AX73" s="327"/>
      <c r="AY73" s="327"/>
      <c r="AZ73" s="327"/>
      <c r="BA73" s="327"/>
      <c r="BB73" s="327"/>
      <c r="BC73" s="50"/>
      <c r="BD73" s="97"/>
      <c r="BE73" s="38" t="s">
        <v>2823</v>
      </c>
      <c r="BF73" s="57" t="str">
        <f>BF62</f>
        <v>μ 057</v>
      </c>
      <c r="BG73" s="127"/>
      <c r="BH73" s="1" t="s">
        <v>2069</v>
      </c>
      <c r="BN73" s="97"/>
      <c r="BO73" s="166"/>
      <c r="BQ73" s="132"/>
      <c r="BR73" s="244">
        <v>0</v>
      </c>
      <c r="BS73" s="65" t="str">
        <f>""</f>
        <v/>
      </c>
      <c r="BT73" s="65" t="str">
        <f>""</f>
        <v/>
      </c>
      <c r="BY73" s="244">
        <f>CL72</f>
        <v>0</v>
      </c>
      <c r="BZ73" s="1" t="s">
        <v>3193</v>
      </c>
      <c r="CB73" s="65">
        <f t="shared" ref="CB73:CB78" si="4">IF(BY73=0,0,1)</f>
        <v>0</v>
      </c>
      <c r="CJ73" s="123"/>
      <c r="CK73" s="270" t="s">
        <v>3127</v>
      </c>
      <c r="CL73" s="269">
        <f>IF(CL63&gt;24,3,0)</f>
        <v>0</v>
      </c>
      <c r="CM73" s="128"/>
      <c r="CN73" s="272" t="s">
        <v>3130</v>
      </c>
      <c r="CO73" s="269">
        <f>IF(CO72&lt;-90,6,0)</f>
        <v>0</v>
      </c>
      <c r="CP73" s="127"/>
      <c r="CQ73" s="6"/>
      <c r="CR73" s="138"/>
      <c r="CS73" s="133" t="s">
        <v>2854</v>
      </c>
      <c r="CT73" s="127"/>
      <c r="CW73" s="170"/>
      <c r="CX73" s="6"/>
      <c r="CY73" s="108" t="s">
        <v>3153</v>
      </c>
      <c r="CZ73" s="6"/>
      <c r="DC73" s="182"/>
      <c r="DE73" s="1" t="s">
        <v>2967</v>
      </c>
      <c r="DF73" s="404">
        <f>IF(DF65&lt;3,DF65,0)</f>
        <v>0</v>
      </c>
      <c r="DG73" s="1" t="s">
        <v>2931</v>
      </c>
      <c r="DH73" s="1">
        <f t="shared" si="3"/>
        <v>0</v>
      </c>
      <c r="DI73" s="1" t="s">
        <v>2968</v>
      </c>
      <c r="DJ73" s="170">
        <f>IF(DH73&gt;0,2,0)</f>
        <v>0</v>
      </c>
      <c r="DK73" s="182"/>
      <c r="DM73" s="2"/>
      <c r="DN73" s="37" t="s">
        <v>3348</v>
      </c>
      <c r="DO73" s="37" t="s">
        <v>3348</v>
      </c>
      <c r="DP73" s="37" t="s">
        <v>608</v>
      </c>
      <c r="DQ73" s="37" t="s">
        <v>3349</v>
      </c>
      <c r="DR73" s="37" t="s">
        <v>609</v>
      </c>
      <c r="DS73" s="22"/>
      <c r="DT73" s="6"/>
      <c r="DZ73" s="48"/>
      <c r="ED73" s="3"/>
      <c r="EE73" s="50"/>
      <c r="EF73" s="50"/>
      <c r="EG73" s="438"/>
      <c r="EH73" s="503" t="s">
        <v>4007</v>
      </c>
      <c r="EI73" s="144"/>
      <c r="EJ73" s="504" t="s">
        <v>2815</v>
      </c>
      <c r="EK73" s="514" t="str">
        <f ca="1">EV66</f>
        <v>Eνεργή οθόνη 3</v>
      </c>
      <c r="EL73" s="50"/>
      <c r="EM73" s="438"/>
      <c r="EN73" s="337"/>
      <c r="EO73" s="50"/>
      <c r="EP73" s="50"/>
      <c r="EQ73" s="50"/>
      <c r="ER73" s="50"/>
      <c r="ET73" s="97"/>
      <c r="FH73" s="97"/>
      <c r="FK73" s="135"/>
      <c r="FY73" s="2"/>
      <c r="FZ73" s="37" t="s">
        <v>3344</v>
      </c>
      <c r="GA73" s="37" t="s">
        <v>3344</v>
      </c>
      <c r="GB73" s="37" t="s">
        <v>520</v>
      </c>
      <c r="GC73" s="37" t="s">
        <v>3844</v>
      </c>
      <c r="GD73" s="37" t="s">
        <v>523</v>
      </c>
      <c r="GF73" s="22"/>
      <c r="GL73" s="48"/>
      <c r="GV73" s="128"/>
      <c r="GW73" s="4"/>
      <c r="GX73" s="37" t="s">
        <v>2391</v>
      </c>
      <c r="GY73" s="37" t="s">
        <v>2391</v>
      </c>
      <c r="GZ73" s="37" t="s">
        <v>2392</v>
      </c>
      <c r="HA73" s="37" t="s">
        <v>2391</v>
      </c>
      <c r="HB73" s="37" t="s">
        <v>3230</v>
      </c>
      <c r="HC73" s="37"/>
      <c r="HJ73" s="48"/>
      <c r="HK73" s="170"/>
      <c r="HM73" s="1" t="s">
        <v>3845</v>
      </c>
      <c r="HN73" s="1">
        <f>IF(HN19=HM73,9,0)</f>
        <v>0</v>
      </c>
      <c r="IB73" s="170"/>
      <c r="IC73" s="405"/>
      <c r="ID73" s="527" t="s">
        <v>251</v>
      </c>
      <c r="IE73" s="528" t="s">
        <v>251</v>
      </c>
      <c r="IF73" s="37" t="s">
        <v>3846</v>
      </c>
      <c r="IG73" s="37"/>
      <c r="IH73" s="37"/>
      <c r="II73" s="1"/>
      <c r="IJ73" s="1"/>
      <c r="IK73" s="1"/>
      <c r="IL73" s="1"/>
      <c r="IM73" s="405"/>
      <c r="IN73" s="178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78"/>
      <c r="JD73" s="135"/>
    </row>
    <row r="74" spans="9:264">
      <c r="I74" s="22"/>
      <c r="J74" s="156" t="s">
        <v>229</v>
      </c>
      <c r="K74" s="156" t="s">
        <v>229</v>
      </c>
      <c r="L74" s="22">
        <v>0</v>
      </c>
      <c r="M74" s="22">
        <v>56</v>
      </c>
      <c r="N74" s="22">
        <v>45.4</v>
      </c>
      <c r="O74" s="22">
        <v>38</v>
      </c>
      <c r="P74" s="22">
        <v>29</v>
      </c>
      <c r="Q74" s="22">
        <v>58</v>
      </c>
      <c r="R74" s="22" t="s">
        <v>230</v>
      </c>
      <c r="S74" s="22" t="s">
        <v>231</v>
      </c>
      <c r="V74" s="4"/>
      <c r="X74" s="128" t="s">
        <v>2845</v>
      </c>
      <c r="Y74" s="6" t="str">
        <f>LOOKUP(Y63,(J5:J917),(R5:R917))</f>
        <v/>
      </c>
      <c r="AB74" s="5"/>
      <c r="AI74" s="50"/>
      <c r="AJ74" s="50"/>
      <c r="AK74" s="50"/>
      <c r="AL74" s="50"/>
      <c r="AM74" s="50"/>
      <c r="AN74" s="51"/>
      <c r="AO74" s="51"/>
      <c r="AP74" s="85"/>
      <c r="AQ74" s="85"/>
      <c r="AR74" s="85"/>
      <c r="AS74" s="85" t="s">
        <v>2804</v>
      </c>
      <c r="AT74" s="85"/>
      <c r="AU74" s="85"/>
      <c r="AV74" s="51"/>
      <c r="AW74" s="50"/>
      <c r="AX74" s="50"/>
      <c r="AY74" s="50"/>
      <c r="AZ74" s="50"/>
      <c r="BA74" s="50"/>
      <c r="BB74" s="50"/>
      <c r="BC74" s="337"/>
      <c r="BD74" s="97"/>
      <c r="BE74" s="38" t="s">
        <v>4004</v>
      </c>
      <c r="BF74" s="6"/>
      <c r="BG74" s="127"/>
      <c r="BN74" s="97"/>
      <c r="BO74" s="166"/>
      <c r="BQ74" s="132"/>
      <c r="BR74" s="244">
        <v>1</v>
      </c>
      <c r="BS74" s="258" t="s">
        <v>3107</v>
      </c>
      <c r="BT74" s="258" t="s">
        <v>3108</v>
      </c>
      <c r="BY74" s="244">
        <f>CO70</f>
        <v>0</v>
      </c>
      <c r="BZ74" s="1" t="s">
        <v>3193</v>
      </c>
      <c r="CB74" s="65">
        <f t="shared" si="4"/>
        <v>0</v>
      </c>
      <c r="CJ74" s="123"/>
      <c r="CK74" s="270" t="s">
        <v>3128</v>
      </c>
      <c r="CL74" s="269">
        <f>IF(CL63&lt;0,4,0)</f>
        <v>0</v>
      </c>
      <c r="CM74" s="127"/>
      <c r="CN74" s="212" t="s">
        <v>3049</v>
      </c>
      <c r="CO74" s="216"/>
      <c r="CP74" s="127"/>
      <c r="CQ74" s="6"/>
      <c r="CR74" s="138"/>
      <c r="CS74" s="133" t="s">
        <v>2863</v>
      </c>
      <c r="CT74" s="65">
        <f>CT22</f>
        <v>2000</v>
      </c>
      <c r="CW74" s="170"/>
      <c r="CX74" s="6"/>
      <c r="CY74" s="6" t="s">
        <v>3154</v>
      </c>
      <c r="CZ74" s="57">
        <f>IF(CZ66=0,CZ56,"")</f>
        <v>0</v>
      </c>
      <c r="DC74" s="182"/>
      <c r="DE74" s="1" t="s">
        <v>2969</v>
      </c>
      <c r="DF74" s="404">
        <f>IF(DF65&lt;2,DF65,0)</f>
        <v>0</v>
      </c>
      <c r="DG74" s="1" t="s">
        <v>2931</v>
      </c>
      <c r="DH74" s="1">
        <f t="shared" si="3"/>
        <v>0</v>
      </c>
      <c r="DI74" s="1" t="s">
        <v>2970</v>
      </c>
      <c r="DJ74" s="170">
        <f>IF(DH74&gt;0,1,0)</f>
        <v>0</v>
      </c>
      <c r="DK74" s="182"/>
      <c r="DM74" s="2"/>
      <c r="DN74" s="37" t="s">
        <v>608</v>
      </c>
      <c r="DO74" s="37" t="s">
        <v>608</v>
      </c>
      <c r="DP74" s="37" t="s">
        <v>608</v>
      </c>
      <c r="DQ74" s="37" t="s">
        <v>3349</v>
      </c>
      <c r="DR74" s="37" t="s">
        <v>609</v>
      </c>
      <c r="DS74" s="22"/>
      <c r="DT74" s="6"/>
      <c r="DZ74" s="48"/>
      <c r="ED74" s="3"/>
      <c r="EE74" s="50"/>
      <c r="EF74" s="50"/>
      <c r="EG74" s="438"/>
      <c r="EH74" s="503" t="s">
        <v>3597</v>
      </c>
      <c r="EI74" s="144"/>
      <c r="EJ74" s="144"/>
      <c r="EK74" s="144"/>
      <c r="EL74" s="50"/>
      <c r="EM74" s="438"/>
      <c r="EN74" s="337"/>
      <c r="EO74" s="50"/>
      <c r="EP74" s="50"/>
      <c r="EQ74" s="50"/>
      <c r="ER74" s="50"/>
      <c r="ET74" s="97"/>
      <c r="FH74" s="97"/>
      <c r="FK74" s="135"/>
      <c r="FY74" s="2"/>
      <c r="FZ74" s="37" t="s">
        <v>520</v>
      </c>
      <c r="GA74" s="37" t="s">
        <v>520</v>
      </c>
      <c r="GB74" s="37" t="s">
        <v>520</v>
      </c>
      <c r="GC74" s="37" t="s">
        <v>3844</v>
      </c>
      <c r="GD74" s="37" t="s">
        <v>523</v>
      </c>
      <c r="GF74" s="22"/>
      <c r="GL74" s="48"/>
      <c r="GV74" s="128"/>
      <c r="GW74" s="4"/>
      <c r="GX74" s="37" t="s">
        <v>2402</v>
      </c>
      <c r="GY74" s="37" t="s">
        <v>2402</v>
      </c>
      <c r="GZ74" s="37" t="s">
        <v>2403</v>
      </c>
      <c r="HA74" s="37" t="s">
        <v>2402</v>
      </c>
      <c r="HB74" s="37" t="s">
        <v>2400</v>
      </c>
      <c r="HC74" s="37"/>
      <c r="HJ74" s="48"/>
      <c r="HK74" s="170"/>
      <c r="HM74" s="1" t="s">
        <v>3847</v>
      </c>
      <c r="HN74" s="1">
        <f>IF(HN19=HM74,9,0)</f>
        <v>0</v>
      </c>
      <c r="IB74" s="170"/>
      <c r="IC74" s="405"/>
      <c r="ID74" s="527" t="s">
        <v>2149</v>
      </c>
      <c r="IE74" s="528" t="s">
        <v>2149</v>
      </c>
      <c r="IF74" s="37" t="s">
        <v>3848</v>
      </c>
      <c r="IG74" s="37"/>
      <c r="IH74" s="37"/>
      <c r="II74" s="1"/>
      <c r="IJ74" s="1"/>
      <c r="IK74" s="1"/>
      <c r="IL74" s="1"/>
      <c r="IM74" s="405"/>
      <c r="IN74" s="178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78"/>
      <c r="JD74" s="135"/>
    </row>
    <row r="75" spans="9:264">
      <c r="I75" s="22"/>
      <c r="J75" s="156" t="s">
        <v>232</v>
      </c>
      <c r="K75" s="156" t="s">
        <v>232</v>
      </c>
      <c r="L75" s="22">
        <v>0</v>
      </c>
      <c r="M75" s="22">
        <v>49</v>
      </c>
      <c r="N75" s="22">
        <v>48.8</v>
      </c>
      <c r="O75" s="22">
        <v>41</v>
      </c>
      <c r="P75" s="22">
        <v>4</v>
      </c>
      <c r="Q75" s="22">
        <v>44</v>
      </c>
      <c r="R75" s="22" t="s">
        <v>233</v>
      </c>
      <c r="S75" s="22" t="s">
        <v>234</v>
      </c>
      <c r="V75" s="4"/>
      <c r="X75" s="128" t="s">
        <v>2846</v>
      </c>
      <c r="Y75" s="6" t="str">
        <f>LOOKUP(Y63,(J5:J917),(S5:S917))</f>
        <v/>
      </c>
      <c r="AB75" s="5"/>
      <c r="AC75" s="108" t="s">
        <v>2876</v>
      </c>
      <c r="AI75" s="50"/>
      <c r="AJ75" s="50"/>
      <c r="AK75" s="50"/>
      <c r="AL75" s="50"/>
      <c r="AM75" s="50"/>
      <c r="AN75" s="51"/>
      <c r="AO75" s="51"/>
      <c r="AP75" s="439" t="s">
        <v>3514</v>
      </c>
      <c r="AQ75" s="57" t="str">
        <f>BS147</f>
        <v/>
      </c>
      <c r="AR75" s="297"/>
      <c r="AS75" s="57"/>
      <c r="AT75" s="57"/>
      <c r="AV75" s="51"/>
      <c r="AW75" s="50"/>
      <c r="AX75" s="50"/>
      <c r="AY75" s="50"/>
      <c r="AZ75" s="50"/>
      <c r="BA75" s="50"/>
      <c r="BB75" s="50"/>
      <c r="BC75" s="337"/>
      <c r="BD75" s="97"/>
      <c r="BE75" s="38" t="s">
        <v>2794</v>
      </c>
      <c r="BF75" s="57" t="str">
        <f>FO47</f>
        <v/>
      </c>
      <c r="BG75" s="127"/>
      <c r="BN75" s="97"/>
      <c r="BO75" s="166"/>
      <c r="BQ75" s="132"/>
      <c r="BR75" s="244">
        <v>2</v>
      </c>
      <c r="BS75" s="258" t="s">
        <v>3107</v>
      </c>
      <c r="BT75" s="258" t="s">
        <v>3110</v>
      </c>
      <c r="BY75" s="244">
        <f>CL74</f>
        <v>0</v>
      </c>
      <c r="BZ75" s="1" t="s">
        <v>3193</v>
      </c>
      <c r="CB75" s="65">
        <f t="shared" si="4"/>
        <v>0</v>
      </c>
      <c r="CJ75" s="123"/>
      <c r="CK75" s="213" t="s">
        <v>3050</v>
      </c>
      <c r="CL75" s="214"/>
      <c r="CM75" s="127"/>
      <c r="CN75" s="215" t="s">
        <v>3051</v>
      </c>
      <c r="CO75" s="216"/>
      <c r="CP75" s="127"/>
      <c r="CQ75" s="6"/>
      <c r="CR75" s="138"/>
      <c r="CS75" s="38"/>
      <c r="CT75" s="127" t="b">
        <v>0</v>
      </c>
      <c r="CW75" s="170"/>
      <c r="CX75" s="6"/>
      <c r="CY75" s="6" t="s">
        <v>3150</v>
      </c>
      <c r="CZ75" s="57">
        <f>IF(CZ66=0,CZ57,"")</f>
        <v>0</v>
      </c>
      <c r="DC75" s="182"/>
      <c r="DE75" s="1" t="s">
        <v>2971</v>
      </c>
      <c r="DF75" s="404">
        <f>IF(DF65&lt;1,DF65,0)</f>
        <v>0</v>
      </c>
      <c r="DG75" s="1" t="s">
        <v>2972</v>
      </c>
      <c r="DH75" s="406">
        <f>DF65-DJ75</f>
        <v>0</v>
      </c>
      <c r="DI75" s="1" t="s">
        <v>2973</v>
      </c>
      <c r="DJ75" s="406">
        <f>DJ66+DJ67+DJ68+DJ69+DJ70+DJ71+DJ72+DJ73+DJ74</f>
        <v>0</v>
      </c>
      <c r="DK75" s="182"/>
      <c r="DM75" s="2"/>
      <c r="DN75" s="37" t="s">
        <v>3350</v>
      </c>
      <c r="DO75" s="37" t="s">
        <v>3350</v>
      </c>
      <c r="DP75" s="37" t="s">
        <v>1014</v>
      </c>
      <c r="DQ75" s="37" t="s">
        <v>3351</v>
      </c>
      <c r="DR75" s="37" t="s">
        <v>1015</v>
      </c>
      <c r="DS75" s="22"/>
      <c r="DT75" s="6"/>
      <c r="DZ75" s="48"/>
      <c r="ED75" s="3"/>
      <c r="EE75" s="50"/>
      <c r="EF75" s="50"/>
      <c r="EG75" s="438"/>
      <c r="EH75" s="114" t="s">
        <v>2816</v>
      </c>
      <c r="EI75" s="587"/>
      <c r="EJ75" s="587"/>
      <c r="EK75" s="587"/>
      <c r="EL75" s="327"/>
      <c r="EM75" s="589"/>
      <c r="EN75" s="337"/>
      <c r="EO75" s="50"/>
      <c r="EP75" s="50"/>
      <c r="EQ75" s="50"/>
      <c r="ER75" s="50"/>
      <c r="ET75" s="97"/>
      <c r="EX75" s="1" t="s">
        <v>2069</v>
      </c>
      <c r="FH75" s="97"/>
      <c r="FK75" s="135"/>
      <c r="FY75" s="2"/>
      <c r="FZ75" s="37" t="s">
        <v>3346</v>
      </c>
      <c r="GA75" s="37" t="s">
        <v>3346</v>
      </c>
      <c r="GB75" s="37" t="s">
        <v>537</v>
      </c>
      <c r="GC75" s="37" t="s">
        <v>3849</v>
      </c>
      <c r="GD75" s="37" t="s">
        <v>540</v>
      </c>
      <c r="GF75" s="22"/>
      <c r="GL75" s="48"/>
      <c r="GV75" s="128"/>
      <c r="GW75" s="4"/>
      <c r="GX75" s="37" t="s">
        <v>3850</v>
      </c>
      <c r="GY75" s="37" t="s">
        <v>3850</v>
      </c>
      <c r="GZ75" s="37" t="s">
        <v>3736</v>
      </c>
      <c r="HA75" s="37" t="s">
        <v>3850</v>
      </c>
      <c r="HB75" s="37" t="s">
        <v>270</v>
      </c>
      <c r="HC75" s="37"/>
      <c r="HJ75" s="48"/>
      <c r="HK75" s="170"/>
      <c r="HM75" s="1" t="s">
        <v>3688</v>
      </c>
      <c r="HN75" s="170">
        <f>HN72+HN73+HN74</f>
        <v>0</v>
      </c>
      <c r="IB75" s="170"/>
      <c r="IC75" s="405"/>
      <c r="ID75" s="527" t="s">
        <v>492</v>
      </c>
      <c r="IE75" s="528" t="s">
        <v>492</v>
      </c>
      <c r="IF75" s="37" t="s">
        <v>3851</v>
      </c>
      <c r="IG75" s="37"/>
      <c r="IH75" s="37"/>
      <c r="II75" s="1"/>
      <c r="IJ75" s="1"/>
      <c r="IK75" s="1"/>
      <c r="IL75" s="1"/>
      <c r="IM75" s="405"/>
      <c r="IN75" s="178"/>
      <c r="IO75" s="1"/>
      <c r="IP75" s="1" t="s">
        <v>3741</v>
      </c>
      <c r="IQ75" s="1" t="b">
        <f>ISNUMBER(IQ27)</f>
        <v>1</v>
      </c>
      <c r="IR75" s="235" t="b">
        <v>0</v>
      </c>
      <c r="IS75" s="1"/>
      <c r="IT75" s="1"/>
      <c r="IU75" s="1"/>
      <c r="IV75" s="1"/>
      <c r="IW75" s="1"/>
      <c r="IX75" s="1"/>
      <c r="IY75" s="1"/>
      <c r="IZ75" s="1"/>
      <c r="JA75" s="1"/>
      <c r="JB75" s="1"/>
      <c r="JC75" s="178"/>
      <c r="JD75" s="135"/>
    </row>
    <row r="76" spans="9:264">
      <c r="I76" s="22"/>
      <c r="J76" s="156" t="s">
        <v>235</v>
      </c>
      <c r="K76" s="156" t="s">
        <v>235</v>
      </c>
      <c r="L76" s="22">
        <v>23</v>
      </c>
      <c r="M76" s="22">
        <v>1</v>
      </c>
      <c r="N76" s="22">
        <v>55.3</v>
      </c>
      <c r="O76" s="22">
        <v>42</v>
      </c>
      <c r="P76" s="22">
        <v>19</v>
      </c>
      <c r="Q76" s="22">
        <v>34</v>
      </c>
      <c r="R76" s="22" t="s">
        <v>236</v>
      </c>
      <c r="S76" s="22" t="s">
        <v>237</v>
      </c>
      <c r="V76" s="4"/>
      <c r="X76" s="128" t="s">
        <v>2847</v>
      </c>
      <c r="Y76" s="12" t="str">
        <f>IF(Y74=0,"",Y74)</f>
        <v/>
      </c>
      <c r="AB76" s="5"/>
      <c r="AC76" s="109" t="str">
        <f>Y76</f>
        <v/>
      </c>
      <c r="AI76" s="50"/>
      <c r="AJ76" s="50"/>
      <c r="AK76" s="50"/>
      <c r="AL76" s="50"/>
      <c r="AM76" s="50"/>
      <c r="AN76" s="50"/>
      <c r="AO76" s="438"/>
      <c r="AP76" s="365"/>
      <c r="AQ76" s="441" t="str">
        <f>BS146</f>
        <v/>
      </c>
      <c r="AR76" s="440" t="str">
        <f>BS144</f>
        <v/>
      </c>
      <c r="AS76" s="366" t="str">
        <f>BS145</f>
        <v/>
      </c>
      <c r="AT76" s="437"/>
      <c r="AU76" s="65"/>
      <c r="AV76" s="337"/>
      <c r="AW76" s="50"/>
      <c r="AX76" s="50"/>
      <c r="AY76" s="50"/>
      <c r="AZ76" s="50"/>
      <c r="BA76" s="50"/>
      <c r="BB76" s="50"/>
      <c r="BC76" s="337"/>
      <c r="BD76" s="97"/>
      <c r="BE76" s="38" t="s">
        <v>2823</v>
      </c>
      <c r="BF76" s="57" t="str">
        <f>FO302</f>
        <v/>
      </c>
      <c r="BG76" s="127"/>
      <c r="BN76" s="97"/>
      <c r="BO76" s="166"/>
      <c r="BQ76" s="132"/>
      <c r="BR76" s="244">
        <v>3</v>
      </c>
      <c r="BS76" s="258" t="s">
        <v>3120</v>
      </c>
      <c r="BT76" s="258" t="s">
        <v>3118</v>
      </c>
      <c r="BY76" s="244">
        <f>CL73</f>
        <v>0</v>
      </c>
      <c r="BZ76" s="1" t="s">
        <v>3193</v>
      </c>
      <c r="CB76" s="65">
        <f t="shared" si="4"/>
        <v>0</v>
      </c>
      <c r="CJ76" s="123"/>
      <c r="CK76" s="217" t="s">
        <v>3052</v>
      </c>
      <c r="CL76" s="218"/>
      <c r="CM76" s="127"/>
      <c r="CN76" s="215" t="s">
        <v>3053</v>
      </c>
      <c r="CO76" s="216"/>
      <c r="CP76" s="127"/>
      <c r="CQ76" s="6"/>
      <c r="CR76" s="138"/>
      <c r="CS76" s="38" t="s">
        <v>3061</v>
      </c>
      <c r="CT76" s="127" t="b">
        <f>ISNUMBER(CT74)</f>
        <v>1</v>
      </c>
      <c r="CW76" s="170"/>
      <c r="CX76" s="6"/>
      <c r="CY76" s="6" t="s">
        <v>3151</v>
      </c>
      <c r="CZ76" s="57" t="str">
        <f>IF(CZ66=0,CZ59,"")</f>
        <v/>
      </c>
      <c r="DC76" s="182"/>
      <c r="DD76" s="175"/>
      <c r="DE76" s="175"/>
      <c r="DF76" s="175"/>
      <c r="DG76" s="108" t="s">
        <v>2975</v>
      </c>
      <c r="DH76" s="175"/>
      <c r="DI76" s="175"/>
      <c r="DJ76" s="175"/>
      <c r="DK76" s="182"/>
      <c r="DM76" s="2"/>
      <c r="DN76" s="37" t="s">
        <v>3352</v>
      </c>
      <c r="DO76" s="37" t="s">
        <v>3352</v>
      </c>
      <c r="DP76" s="37" t="s">
        <v>1014</v>
      </c>
      <c r="DQ76" s="37" t="s">
        <v>3351</v>
      </c>
      <c r="DR76" s="37" t="s">
        <v>1015</v>
      </c>
      <c r="DS76" s="22"/>
      <c r="DT76" s="6"/>
      <c r="DZ76" s="48"/>
      <c r="ED76" s="3"/>
      <c r="EE76" s="327"/>
      <c r="EF76" s="327"/>
      <c r="EG76" s="327"/>
      <c r="EH76" s="116"/>
      <c r="EI76" s="393"/>
      <c r="EJ76" s="48"/>
      <c r="EK76" s="393"/>
      <c r="EL76" s="342"/>
      <c r="EM76" s="342"/>
      <c r="EN76" s="327"/>
      <c r="EO76" s="327"/>
      <c r="EP76" s="327"/>
      <c r="EQ76" s="327"/>
      <c r="ER76" s="327"/>
      <c r="ET76" s="97"/>
      <c r="FH76" s="97"/>
      <c r="FK76" s="135"/>
      <c r="FY76" s="2"/>
      <c r="FZ76" s="37" t="s">
        <v>537</v>
      </c>
      <c r="GA76" s="37" t="s">
        <v>537</v>
      </c>
      <c r="GB76" s="37" t="s">
        <v>537</v>
      </c>
      <c r="GC76" s="37" t="s">
        <v>3849</v>
      </c>
      <c r="GD76" s="37" t="s">
        <v>540</v>
      </c>
      <c r="GF76" s="22"/>
      <c r="GL76" s="48"/>
      <c r="GV76" s="128"/>
      <c r="GW76" s="4"/>
      <c r="GX76" s="37" t="s">
        <v>3852</v>
      </c>
      <c r="GY76" s="37" t="s">
        <v>3852</v>
      </c>
      <c r="GZ76" s="37" t="s">
        <v>2545</v>
      </c>
      <c r="HA76" s="37" t="s">
        <v>3852</v>
      </c>
      <c r="HB76" s="37" t="s">
        <v>2542</v>
      </c>
      <c r="HC76" s="37"/>
      <c r="HJ76" s="48"/>
      <c r="HK76" s="170"/>
      <c r="HM76" s="191">
        <v>10</v>
      </c>
      <c r="IB76" s="170"/>
      <c r="IC76" s="405"/>
      <c r="ID76" s="527" t="s">
        <v>3736</v>
      </c>
      <c r="IE76" s="528" t="s">
        <v>3736</v>
      </c>
      <c r="IF76" s="37" t="s">
        <v>3853</v>
      </c>
      <c r="IG76" s="37"/>
      <c r="IH76" s="37"/>
      <c r="II76" s="1"/>
      <c r="IJ76" s="1"/>
      <c r="IK76" s="1"/>
      <c r="IL76" s="1"/>
      <c r="IM76" s="405"/>
      <c r="IN76" s="178"/>
      <c r="IO76" s="1"/>
      <c r="IP76" s="1" t="s">
        <v>3744</v>
      </c>
      <c r="IQ76" s="1">
        <f>IF(IQ75=IR75,0,IQ27)</f>
        <v>0</v>
      </c>
      <c r="IR76" s="1"/>
      <c r="IS76" s="1"/>
      <c r="IT76" s="1"/>
      <c r="IU76" s="1"/>
      <c r="IV76" s="1"/>
      <c r="IW76" s="1"/>
      <c r="IX76" s="1"/>
      <c r="IY76" s="1"/>
      <c r="IZ76" s="1"/>
      <c r="JA76" s="1"/>
      <c r="JB76" s="1"/>
      <c r="JC76" s="178"/>
      <c r="JD76" s="135"/>
    </row>
    <row r="77" spans="9:264">
      <c r="I77" s="22"/>
      <c r="J77" s="156" t="s">
        <v>238</v>
      </c>
      <c r="K77" s="156" t="s">
        <v>238</v>
      </c>
      <c r="L77" s="22">
        <v>1</v>
      </c>
      <c r="M77" s="22">
        <v>9</v>
      </c>
      <c r="N77" s="22">
        <v>30.1</v>
      </c>
      <c r="O77" s="22">
        <v>47</v>
      </c>
      <c r="P77" s="22">
        <v>14</v>
      </c>
      <c r="Q77" s="22">
        <v>30</v>
      </c>
      <c r="R77" s="22" t="s">
        <v>239</v>
      </c>
      <c r="S77" s="22" t="s">
        <v>240</v>
      </c>
      <c r="V77" s="4"/>
      <c r="X77" s="128" t="s">
        <v>2848</v>
      </c>
      <c r="Y77" s="12" t="str">
        <f>IF(Y75=0,"",Y75)</f>
        <v/>
      </c>
      <c r="AB77" s="5"/>
      <c r="AC77" s="109" t="str">
        <f>Y77</f>
        <v/>
      </c>
      <c r="AI77" s="50"/>
      <c r="AJ77" s="50"/>
      <c r="AK77" s="50"/>
      <c r="AL77" s="50"/>
      <c r="AM77" s="50"/>
      <c r="AN77" s="50"/>
      <c r="AO77" s="50"/>
      <c r="AP77" s="355" t="s">
        <v>2793</v>
      </c>
      <c r="AQ77" s="50"/>
      <c r="AR77" s="355"/>
      <c r="AS77" s="50"/>
      <c r="AT77" s="50"/>
      <c r="AV77" s="50"/>
      <c r="AW77" s="50"/>
      <c r="AX77" s="50"/>
      <c r="AY77" s="50"/>
      <c r="AZ77" s="50"/>
      <c r="BA77" s="50"/>
      <c r="BB77" s="50"/>
      <c r="BC77" s="337"/>
      <c r="BD77" s="97"/>
      <c r="BE77" s="38"/>
      <c r="BF77" s="128"/>
      <c r="BG77" s="127"/>
      <c r="BN77" s="97"/>
      <c r="BO77" s="166"/>
      <c r="BQ77" s="132"/>
      <c r="BR77" s="244">
        <v>4</v>
      </c>
      <c r="BS77" s="258" t="s">
        <v>3120</v>
      </c>
      <c r="BT77" s="258" t="s">
        <v>3119</v>
      </c>
      <c r="BY77" s="244">
        <f>CO71</f>
        <v>0</v>
      </c>
      <c r="BZ77" s="1" t="s">
        <v>3193</v>
      </c>
      <c r="CB77" s="65">
        <f t="shared" si="4"/>
        <v>0</v>
      </c>
      <c r="CJ77" s="123"/>
      <c r="CK77" s="217" t="s">
        <v>3054</v>
      </c>
      <c r="CL77" s="219">
        <f>CL45</f>
        <v>3</v>
      </c>
      <c r="CM77" s="127"/>
      <c r="CN77" s="215" t="s">
        <v>2856</v>
      </c>
      <c r="CO77" s="216">
        <f>CO37</f>
        <v>3</v>
      </c>
      <c r="CP77" s="127"/>
      <c r="CQ77" s="6"/>
      <c r="CR77" s="138"/>
      <c r="CS77" s="38" t="s">
        <v>3062</v>
      </c>
      <c r="CT77" s="223">
        <f>IF(CT76=CT75,2000,CT74)</f>
        <v>2000</v>
      </c>
      <c r="CW77" s="170"/>
      <c r="CX77" s="6"/>
      <c r="CY77" s="6"/>
      <c r="CZ77" s="6"/>
      <c r="DC77" s="182"/>
      <c r="DD77" s="189" t="s">
        <v>2984</v>
      </c>
      <c r="DG77" s="1" t="s">
        <v>3003</v>
      </c>
      <c r="DH77" s="1">
        <f>IF(DH75&lt;0.000000001,0,DH75)</f>
        <v>0</v>
      </c>
      <c r="DK77" s="182"/>
      <c r="DM77" s="2"/>
      <c r="DN77" s="37" t="s">
        <v>3353</v>
      </c>
      <c r="DO77" s="37" t="s">
        <v>3353</v>
      </c>
      <c r="DP77" s="37" t="s">
        <v>1014</v>
      </c>
      <c r="DQ77" s="37" t="s">
        <v>3351</v>
      </c>
      <c r="DR77" s="37" t="s">
        <v>1015</v>
      </c>
      <c r="DS77" s="22"/>
      <c r="DT77" s="6"/>
      <c r="DZ77" s="48"/>
      <c r="ED77" s="3"/>
      <c r="EE77" s="50"/>
      <c r="EF77" s="50"/>
      <c r="EG77" s="50"/>
      <c r="EH77" s="50"/>
      <c r="EI77" s="50"/>
      <c r="EJ77" s="50"/>
      <c r="EK77" s="50"/>
      <c r="EL77" s="50"/>
      <c r="EM77" s="50"/>
      <c r="EN77" s="50"/>
      <c r="EO77" s="50"/>
      <c r="EP77" s="50"/>
      <c r="EQ77" s="50"/>
      <c r="ER77" s="50"/>
      <c r="ET77" s="97"/>
      <c r="FH77" s="97"/>
      <c r="FK77" s="135"/>
      <c r="FY77" s="2"/>
      <c r="FZ77" s="37" t="s">
        <v>3348</v>
      </c>
      <c r="GA77" s="37" t="s">
        <v>3348</v>
      </c>
      <c r="GB77" s="37" t="s">
        <v>608</v>
      </c>
      <c r="GC77" s="37" t="s">
        <v>3854</v>
      </c>
      <c r="GD77" s="37" t="s">
        <v>611</v>
      </c>
      <c r="GF77" s="22"/>
      <c r="GL77" s="48"/>
      <c r="GV77" s="128"/>
      <c r="GW77" s="4"/>
      <c r="GX77" s="37" t="s">
        <v>2419</v>
      </c>
      <c r="GY77" s="37" t="s">
        <v>2419</v>
      </c>
      <c r="GZ77" s="37" t="s">
        <v>2420</v>
      </c>
      <c r="HA77" s="37" t="s">
        <v>2419</v>
      </c>
      <c r="HB77" s="37" t="s">
        <v>2417</v>
      </c>
      <c r="HC77" s="37"/>
      <c r="HJ77" s="48"/>
      <c r="HK77" s="170"/>
      <c r="HM77" s="1" t="s">
        <v>3855</v>
      </c>
      <c r="IB77" s="170"/>
      <c r="IC77" s="405"/>
      <c r="ID77" s="527" t="s">
        <v>2545</v>
      </c>
      <c r="IE77" s="528" t="s">
        <v>2545</v>
      </c>
      <c r="IF77" s="37" t="s">
        <v>3856</v>
      </c>
      <c r="IG77" s="37"/>
      <c r="IH77" s="37"/>
      <c r="II77" s="1"/>
      <c r="IJ77" s="1"/>
      <c r="IK77" s="1"/>
      <c r="IL77" s="1"/>
      <c r="IM77" s="405"/>
      <c r="IN77" s="178"/>
      <c r="IO77" s="1"/>
      <c r="IP77" s="1"/>
      <c r="IQ77" s="1"/>
      <c r="IR77" s="1"/>
      <c r="IS77" s="1"/>
      <c r="IT77" s="1"/>
      <c r="IU77" s="1"/>
      <c r="IV77" s="1"/>
      <c r="IW77" s="1"/>
      <c r="IX77" s="1"/>
      <c r="IY77" s="1"/>
      <c r="IZ77" s="1"/>
      <c r="JA77" s="1"/>
      <c r="JB77" s="1"/>
      <c r="JC77" s="178"/>
      <c r="JD77" s="135"/>
    </row>
    <row r="78" spans="9:264">
      <c r="I78" s="22"/>
      <c r="J78" s="156" t="s">
        <v>241</v>
      </c>
      <c r="K78" s="156" t="s">
        <v>241</v>
      </c>
      <c r="L78" s="22">
        <v>23</v>
      </c>
      <c r="M78" s="22">
        <v>46</v>
      </c>
      <c r="N78" s="22">
        <v>2.1</v>
      </c>
      <c r="O78" s="22">
        <v>46</v>
      </c>
      <c r="P78" s="22">
        <v>25</v>
      </c>
      <c r="Q78" s="22">
        <v>13</v>
      </c>
      <c r="R78" s="22" t="s">
        <v>242</v>
      </c>
      <c r="S78" s="22" t="s">
        <v>243</v>
      </c>
      <c r="V78" s="4"/>
      <c r="W78" s="4"/>
      <c r="X78" s="4"/>
      <c r="Y78" s="4"/>
      <c r="AB78" s="5"/>
      <c r="AC78" s="5"/>
      <c r="AD78" s="5"/>
      <c r="AE78" s="5"/>
      <c r="AF78" s="5"/>
      <c r="AG78" s="5"/>
      <c r="AI78" s="50"/>
      <c r="AJ78" s="50"/>
      <c r="AK78" s="50"/>
      <c r="AL78" s="50"/>
      <c r="AM78" s="50"/>
      <c r="AN78" s="50"/>
      <c r="AO78" s="50"/>
      <c r="AP78" s="50"/>
      <c r="AQ78" s="50"/>
      <c r="AR78" s="50"/>
      <c r="AS78" s="50"/>
      <c r="AT78" s="50"/>
      <c r="AU78" s="50"/>
      <c r="AV78" s="50"/>
      <c r="AW78" s="50"/>
      <c r="AX78" s="50"/>
      <c r="AY78" s="50"/>
      <c r="AZ78" s="50"/>
      <c r="BA78" s="50"/>
      <c r="BB78" s="50"/>
      <c r="BC78" s="337"/>
      <c r="BD78" s="97"/>
      <c r="BE78" s="38" t="s">
        <v>2794</v>
      </c>
      <c r="BF78" s="118" t="str">
        <f>IF(BF70=1,BF72,BF75)</f>
        <v/>
      </c>
      <c r="BG78" s="127"/>
      <c r="BN78" s="97"/>
      <c r="BO78" s="166"/>
      <c r="BQ78" s="132"/>
      <c r="BR78" s="244">
        <v>5</v>
      </c>
      <c r="BS78" s="258" t="s">
        <v>3120</v>
      </c>
      <c r="BT78" s="258" t="s">
        <v>3121</v>
      </c>
      <c r="BY78" s="244">
        <f>CO73</f>
        <v>0</v>
      </c>
      <c r="BZ78" s="1" t="s">
        <v>3193</v>
      </c>
      <c r="CB78" s="65">
        <f t="shared" si="4"/>
        <v>0</v>
      </c>
      <c r="CJ78" s="123"/>
      <c r="CK78" s="217" t="s">
        <v>3055</v>
      </c>
      <c r="CL78" s="219">
        <f>CO45</f>
        <v>3</v>
      </c>
      <c r="CM78" s="127"/>
      <c r="CN78" s="215" t="s">
        <v>2856</v>
      </c>
      <c r="CO78" s="216">
        <f>CL37</f>
        <v>3</v>
      </c>
      <c r="CP78" s="127"/>
      <c r="CQ78" s="6"/>
      <c r="CR78" s="138"/>
      <c r="CS78" s="133" t="s">
        <v>3063</v>
      </c>
      <c r="CT78" s="65" t="str">
        <f>CL135</f>
        <v/>
      </c>
      <c r="CW78" s="170"/>
      <c r="DC78" s="182"/>
      <c r="DD78" s="65">
        <f>CT57</f>
        <v>0</v>
      </c>
      <c r="DE78" s="196" t="s">
        <v>2974</v>
      </c>
      <c r="DF78" s="197"/>
      <c r="DG78" s="1" t="s">
        <v>3004</v>
      </c>
      <c r="DH78" s="406">
        <f>IF(DH77&gt;0.999999999,0,DH77)</f>
        <v>0</v>
      </c>
      <c r="DI78" s="108" t="s">
        <v>2976</v>
      </c>
      <c r="DK78" s="182"/>
      <c r="DM78" s="2"/>
      <c r="DN78" s="37" t="s">
        <v>1014</v>
      </c>
      <c r="DO78" s="37" t="s">
        <v>1014</v>
      </c>
      <c r="DP78" s="37" t="s">
        <v>1014</v>
      </c>
      <c r="DQ78" s="37" t="s">
        <v>3351</v>
      </c>
      <c r="DR78" s="37" t="s">
        <v>1015</v>
      </c>
      <c r="DS78" s="22"/>
      <c r="DT78" s="6"/>
      <c r="DZ78" s="48"/>
      <c r="ED78" s="3"/>
      <c r="EE78" s="50"/>
      <c r="EF78" s="50"/>
      <c r="EG78" s="50"/>
      <c r="EH78" s="50"/>
      <c r="EI78" s="50"/>
      <c r="EJ78" s="50"/>
      <c r="EK78" s="50"/>
      <c r="EL78" s="50"/>
      <c r="EM78" s="50"/>
      <c r="EN78" s="50"/>
      <c r="EO78" s="50"/>
      <c r="EP78" s="50"/>
      <c r="EQ78" s="50"/>
      <c r="ER78" s="50"/>
      <c r="ET78" s="97"/>
      <c r="FH78" s="97"/>
      <c r="FK78" s="135"/>
      <c r="FY78" s="2"/>
      <c r="FZ78" s="37" t="s">
        <v>608</v>
      </c>
      <c r="GA78" s="37" t="s">
        <v>608</v>
      </c>
      <c r="GB78" s="37" t="s">
        <v>608</v>
      </c>
      <c r="GC78" s="37" t="s">
        <v>3854</v>
      </c>
      <c r="GD78" s="37" t="s">
        <v>611</v>
      </c>
      <c r="GF78" s="22"/>
      <c r="GL78" s="48"/>
      <c r="GV78" s="128"/>
      <c r="GW78" s="4"/>
      <c r="GX78" s="37" t="s">
        <v>341</v>
      </c>
      <c r="GY78" s="37" t="s">
        <v>341</v>
      </c>
      <c r="GZ78" s="37" t="s">
        <v>342</v>
      </c>
      <c r="HA78" s="37" t="s">
        <v>341</v>
      </c>
      <c r="HB78" s="37" t="s">
        <v>339</v>
      </c>
      <c r="HC78" s="37"/>
      <c r="HJ78" s="48"/>
      <c r="HK78" s="170"/>
      <c r="HM78" s="1" t="s">
        <v>3694</v>
      </c>
      <c r="HN78" s="1">
        <f>IF(HN19=HM78,10,0)</f>
        <v>0</v>
      </c>
      <c r="IB78" s="170"/>
      <c r="IC78" s="405"/>
      <c r="ID78" s="527" t="s">
        <v>2525</v>
      </c>
      <c r="IE78" s="528" t="s">
        <v>2525</v>
      </c>
      <c r="IF78" s="37" t="s">
        <v>3857</v>
      </c>
      <c r="IG78" s="37"/>
      <c r="IH78" s="37"/>
      <c r="II78" s="1"/>
      <c r="IJ78" s="1"/>
      <c r="IK78" s="1"/>
      <c r="IL78" s="1"/>
      <c r="IM78" s="405"/>
      <c r="IN78" s="178"/>
      <c r="IO78" s="1"/>
      <c r="IP78" s="1"/>
      <c r="IQ78" s="1"/>
      <c r="IR78" s="1"/>
      <c r="IS78" s="1"/>
      <c r="IT78" s="1"/>
      <c r="IU78" s="1"/>
      <c r="IV78" s="1"/>
      <c r="IW78" s="1"/>
      <c r="IX78" s="1"/>
      <c r="IY78" s="1"/>
      <c r="IZ78" s="1"/>
      <c r="JA78" s="1"/>
      <c r="JB78" s="1"/>
      <c r="JC78" s="178"/>
      <c r="JD78" s="135"/>
    </row>
    <row r="79" spans="9:264">
      <c r="I79" s="24" t="s">
        <v>244</v>
      </c>
      <c r="J79" s="157" t="s">
        <v>245</v>
      </c>
      <c r="K79" s="157" t="s">
        <v>245</v>
      </c>
      <c r="L79" s="24" t="s">
        <v>39</v>
      </c>
      <c r="M79" s="24" t="s">
        <v>244</v>
      </c>
      <c r="N79" s="24" t="s">
        <v>244</v>
      </c>
      <c r="O79" s="24" t="s">
        <v>40</v>
      </c>
      <c r="P79" s="24" t="s">
        <v>246</v>
      </c>
      <c r="Q79" s="24" t="s">
        <v>203</v>
      </c>
      <c r="R79" s="24" t="s">
        <v>247</v>
      </c>
      <c r="S79" s="24" t="s">
        <v>246</v>
      </c>
      <c r="AB79" s="5"/>
      <c r="AI79" s="50"/>
      <c r="AJ79" s="50"/>
      <c r="AK79" s="50"/>
      <c r="AL79" s="50"/>
      <c r="AM79" s="50"/>
      <c r="AN79" s="50"/>
      <c r="AO79" s="50"/>
      <c r="AP79" s="50"/>
      <c r="AQ79" s="50"/>
      <c r="AR79" s="50"/>
      <c r="AS79" s="50"/>
      <c r="AT79" s="50"/>
      <c r="AU79" s="50"/>
      <c r="AV79" s="50"/>
      <c r="AW79" s="50"/>
      <c r="AX79" s="50"/>
      <c r="AY79" s="50"/>
      <c r="AZ79" s="50"/>
      <c r="BA79" s="50"/>
      <c r="BB79" s="50"/>
      <c r="BC79" s="337"/>
      <c r="BD79" s="97"/>
      <c r="BE79" s="95" t="s">
        <v>2823</v>
      </c>
      <c r="BF79" s="118" t="str">
        <f>IF(BF70=1,BF73,BF76)</f>
        <v/>
      </c>
      <c r="BG79" s="80"/>
      <c r="BN79" s="97"/>
      <c r="BO79" s="166"/>
      <c r="BQ79" s="132"/>
      <c r="BR79" s="244">
        <v>6</v>
      </c>
      <c r="BS79" s="258" t="s">
        <v>3120</v>
      </c>
      <c r="BT79" s="258" t="s">
        <v>3122</v>
      </c>
      <c r="BY79" s="244">
        <f>IF(Y36="ωωωωω",7,0)</f>
        <v>0</v>
      </c>
      <c r="BZ79" s="1" t="s">
        <v>3193</v>
      </c>
      <c r="CB79" s="65">
        <f>IF(BY79=0,0,1)</f>
        <v>0</v>
      </c>
      <c r="CJ79" s="123"/>
      <c r="CK79" s="220" t="s">
        <v>3056</v>
      </c>
      <c r="CL79" s="199">
        <f>CL77+CL78</f>
        <v>6</v>
      </c>
      <c r="CM79" s="80"/>
      <c r="CN79" s="221" t="s">
        <v>3056</v>
      </c>
      <c r="CO79" s="109">
        <f>CO77+CO78</f>
        <v>6</v>
      </c>
      <c r="CP79" s="80"/>
      <c r="CQ79" s="6"/>
      <c r="CR79" s="138"/>
      <c r="CS79" s="38" t="s">
        <v>3061</v>
      </c>
      <c r="CT79" s="127" t="b">
        <f>ISNUMBER(CT78)</f>
        <v>0</v>
      </c>
      <c r="CW79" s="170"/>
      <c r="CY79" s="108" t="s">
        <v>3016</v>
      </c>
      <c r="DC79" s="182"/>
      <c r="DE79" s="6" t="s">
        <v>2977</v>
      </c>
      <c r="DF79" s="6"/>
      <c r="DG79" s="108" t="s">
        <v>2981</v>
      </c>
      <c r="DI79" s="1" t="s">
        <v>3005</v>
      </c>
      <c r="DK79" s="182"/>
      <c r="DM79" s="2"/>
      <c r="DN79" s="37" t="s">
        <v>3354</v>
      </c>
      <c r="DO79" s="37" t="s">
        <v>3354</v>
      </c>
      <c r="DP79" s="37" t="s">
        <v>3217</v>
      </c>
      <c r="DQ79" s="37" t="s">
        <v>3355</v>
      </c>
      <c r="DR79" s="37" t="s">
        <v>656</v>
      </c>
      <c r="DS79" s="22"/>
      <c r="DT79" s="6"/>
      <c r="DZ79" s="48"/>
      <c r="ED79" s="3"/>
      <c r="EE79" s="50"/>
      <c r="EF79" s="50"/>
      <c r="EG79" s="50"/>
      <c r="EH79" s="50"/>
      <c r="EI79" s="50"/>
      <c r="EJ79" s="50"/>
      <c r="EK79" s="50"/>
      <c r="EL79" s="50"/>
      <c r="EM79" s="50"/>
      <c r="EN79" s="50"/>
      <c r="EO79" s="50"/>
      <c r="EP79" s="50"/>
      <c r="EQ79" s="50"/>
      <c r="ER79" s="50"/>
      <c r="ET79" s="97"/>
      <c r="FH79" s="97"/>
      <c r="FK79" s="135"/>
      <c r="FY79" s="2"/>
      <c r="FZ79" s="37" t="s">
        <v>3350</v>
      </c>
      <c r="GA79" s="37" t="s">
        <v>3350</v>
      </c>
      <c r="GB79" s="37" t="s">
        <v>1014</v>
      </c>
      <c r="GC79" s="37" t="s">
        <v>3858</v>
      </c>
      <c r="GD79" s="37" t="s">
        <v>1019</v>
      </c>
      <c r="GF79" s="22"/>
      <c r="GL79" s="48"/>
      <c r="GV79" s="128"/>
      <c r="GW79" s="4"/>
      <c r="GX79" s="37" t="s">
        <v>250</v>
      </c>
      <c r="GY79" s="37" t="s">
        <v>250</v>
      </c>
      <c r="GZ79" s="37" t="s">
        <v>251</v>
      </c>
      <c r="HA79" s="37" t="s">
        <v>250</v>
      </c>
      <c r="HB79" s="37" t="s">
        <v>3210</v>
      </c>
      <c r="HC79" s="37"/>
      <c r="HJ79" s="48"/>
      <c r="HK79" s="170"/>
      <c r="HM79" s="1" t="s">
        <v>3859</v>
      </c>
      <c r="HN79" s="1">
        <f>IF(HN19=HM79,10,0)</f>
        <v>0</v>
      </c>
      <c r="IB79" s="170"/>
      <c r="IC79" s="405"/>
      <c r="ID79" s="527" t="s">
        <v>2589</v>
      </c>
      <c r="IE79" s="528" t="s">
        <v>2589</v>
      </c>
      <c r="IF79" s="37" t="s">
        <v>3860</v>
      </c>
      <c r="IG79" s="37"/>
      <c r="IH79" s="37"/>
      <c r="II79" s="1"/>
      <c r="IJ79" s="1"/>
      <c r="IK79" s="1"/>
      <c r="IL79" s="1"/>
      <c r="IM79" s="405"/>
      <c r="IN79" s="178"/>
      <c r="IO79" s="1"/>
      <c r="IP79" s="1"/>
      <c r="IQ79" s="1"/>
      <c r="IR79" s="1"/>
      <c r="IS79" s="1"/>
      <c r="IT79" s="1"/>
      <c r="IU79" s="1"/>
      <c r="IV79" s="1"/>
      <c r="IW79" s="1"/>
      <c r="IX79" s="1"/>
      <c r="IY79" s="1"/>
      <c r="IZ79" s="1"/>
      <c r="JA79" s="1"/>
      <c r="JB79" s="1"/>
      <c r="JC79" s="178"/>
      <c r="JD79" s="135"/>
    </row>
    <row r="80" spans="9:264">
      <c r="I80" s="22"/>
      <c r="J80" s="156" t="s">
        <v>2888</v>
      </c>
      <c r="K80" s="156" t="s">
        <v>2888</v>
      </c>
      <c r="L80" s="22">
        <v>10</v>
      </c>
      <c r="M80" s="22">
        <v>27</v>
      </c>
      <c r="N80" s="22">
        <v>9.1</v>
      </c>
      <c r="O80" s="22">
        <v>-31</v>
      </c>
      <c r="P80" s="22">
        <v>-4</v>
      </c>
      <c r="Q80" s="22">
        <v>-4</v>
      </c>
      <c r="R80" s="22" t="s">
        <v>2889</v>
      </c>
      <c r="S80" s="22" t="s">
        <v>2890</v>
      </c>
      <c r="AB80" s="5"/>
      <c r="AI80" s="50"/>
      <c r="AJ80" s="50"/>
      <c r="AK80" s="50"/>
      <c r="AL80" s="50"/>
      <c r="AM80" s="50"/>
      <c r="AN80" s="50"/>
      <c r="AO80" s="50"/>
      <c r="AP80" s="50"/>
      <c r="AQ80" s="50"/>
      <c r="AR80" s="50"/>
      <c r="AS80" s="50"/>
      <c r="AT80" s="50"/>
      <c r="AU80" s="50"/>
      <c r="AV80" s="50"/>
      <c r="AW80" s="50"/>
      <c r="AX80" s="50"/>
      <c r="AY80" s="50"/>
      <c r="AZ80" s="50"/>
      <c r="BA80" s="50"/>
      <c r="BB80" s="50"/>
      <c r="BC80" s="337"/>
      <c r="BD80" s="97"/>
      <c r="BN80" s="97"/>
      <c r="BO80" s="166"/>
      <c r="BQ80" s="132"/>
      <c r="BR80" s="244">
        <v>7</v>
      </c>
      <c r="BS80" s="258" t="s">
        <v>3249</v>
      </c>
      <c r="BT80" s="258" t="s">
        <v>3250</v>
      </c>
      <c r="BY80" s="1">
        <f>CZ119</f>
        <v>0</v>
      </c>
      <c r="BZ80" s="1" t="s">
        <v>3193</v>
      </c>
      <c r="CB80" s="65">
        <f>IF(BY80=0,0,1)</f>
        <v>0</v>
      </c>
      <c r="CJ80" s="123"/>
      <c r="CK80" s="222" t="s">
        <v>2823</v>
      </c>
      <c r="CL80" s="119"/>
      <c r="CM80" s="143"/>
      <c r="CN80" s="222" t="s">
        <v>2823</v>
      </c>
      <c r="CO80" s="119"/>
      <c r="CP80" s="143"/>
      <c r="CQ80" s="6"/>
      <c r="CR80" s="138"/>
      <c r="CS80" s="38" t="s">
        <v>2855</v>
      </c>
      <c r="CT80" s="223">
        <f>IF(CT79=CT75,0,CT78)</f>
        <v>0</v>
      </c>
      <c r="CW80" s="170"/>
      <c r="CY80" s="1" t="s">
        <v>3099</v>
      </c>
      <c r="DC80" s="182"/>
      <c r="DD80" s="191" t="s">
        <v>2991</v>
      </c>
      <c r="DE80" s="6" t="s">
        <v>2978</v>
      </c>
      <c r="DF80" s="128"/>
      <c r="DG80" s="1" t="s">
        <v>3006</v>
      </c>
      <c r="DH80" s="1">
        <f>DF90-DH78</f>
        <v>0</v>
      </c>
      <c r="DI80" s="1" t="s">
        <v>3007</v>
      </c>
      <c r="DJ80" s="406">
        <f>DH42</f>
        <v>0</v>
      </c>
      <c r="DK80" s="182"/>
      <c r="DM80" s="2"/>
      <c r="DN80" s="37" t="s">
        <v>655</v>
      </c>
      <c r="DO80" s="37" t="s">
        <v>655</v>
      </c>
      <c r="DP80" s="37" t="s">
        <v>3217</v>
      </c>
      <c r="DQ80" s="37" t="s">
        <v>3355</v>
      </c>
      <c r="DR80" s="37" t="s">
        <v>656</v>
      </c>
      <c r="DS80" s="22"/>
      <c r="DT80" s="6"/>
      <c r="DZ80" s="48"/>
      <c r="ED80" s="3"/>
      <c r="EE80" s="50"/>
      <c r="EF80" s="50"/>
      <c r="EG80" s="50"/>
      <c r="EH80" s="50"/>
      <c r="EI80" s="50"/>
      <c r="EJ80" s="50"/>
      <c r="EK80" s="50"/>
      <c r="EL80" s="50"/>
      <c r="EM80" s="50"/>
      <c r="EN80" s="50"/>
      <c r="EO80" s="50"/>
      <c r="EP80" s="50"/>
      <c r="EQ80" s="50"/>
      <c r="ER80" s="50"/>
      <c r="ET80" s="97"/>
      <c r="FH80" s="97"/>
      <c r="FK80" s="135"/>
      <c r="FY80" s="2"/>
      <c r="FZ80" s="37" t="s">
        <v>3352</v>
      </c>
      <c r="GA80" s="37" t="s">
        <v>3352</v>
      </c>
      <c r="GB80" s="37" t="s">
        <v>1014</v>
      </c>
      <c r="GC80" s="37" t="s">
        <v>3858</v>
      </c>
      <c r="GD80" s="37" t="s">
        <v>1019</v>
      </c>
      <c r="GF80" s="22"/>
      <c r="GL80" s="48"/>
      <c r="GV80" s="128"/>
      <c r="GW80" s="4"/>
      <c r="GX80" s="37" t="s">
        <v>3861</v>
      </c>
      <c r="GY80" s="37" t="s">
        <v>3861</v>
      </c>
      <c r="GZ80" s="37" t="s">
        <v>2149</v>
      </c>
      <c r="HA80" s="37" t="s">
        <v>3861</v>
      </c>
      <c r="HB80" s="37" t="s">
        <v>2146</v>
      </c>
      <c r="HC80" s="37"/>
      <c r="HJ80" s="48"/>
      <c r="HK80" s="170"/>
      <c r="HM80" s="1" t="s">
        <v>4052</v>
      </c>
      <c r="HN80" s="1">
        <f>IF(HN19=HM80,10,0)</f>
        <v>0</v>
      </c>
      <c r="IB80" s="170"/>
      <c r="IC80" s="405"/>
      <c r="ID80" s="527" t="s">
        <v>114</v>
      </c>
      <c r="IE80" s="528" t="s">
        <v>114</v>
      </c>
      <c r="IF80" s="37" t="s">
        <v>3863</v>
      </c>
      <c r="IG80" s="37"/>
      <c r="IH80" s="37"/>
      <c r="II80" s="1"/>
      <c r="IJ80" s="1"/>
      <c r="IK80" s="1"/>
      <c r="IL80" s="1"/>
      <c r="IM80" s="405"/>
      <c r="IN80" s="178"/>
      <c r="IO80" s="1"/>
      <c r="IP80" s="1"/>
      <c r="IQ80" s="1"/>
      <c r="IR80" s="1"/>
      <c r="IS80" s="1"/>
      <c r="IT80" s="1"/>
      <c r="IU80" s="1"/>
      <c r="IV80" s="1"/>
      <c r="IW80" s="1"/>
      <c r="IX80" s="1"/>
      <c r="IY80" s="1"/>
      <c r="IZ80" s="1"/>
      <c r="JA80" s="1"/>
      <c r="JB80" s="1"/>
      <c r="JC80" s="178"/>
      <c r="JD80" s="135"/>
    </row>
    <row r="81" spans="9:264">
      <c r="I81" s="24" t="s">
        <v>248</v>
      </c>
      <c r="J81" s="157" t="s">
        <v>249</v>
      </c>
      <c r="K81" s="157" t="s">
        <v>249</v>
      </c>
      <c r="L81" s="24" t="s">
        <v>39</v>
      </c>
      <c r="M81" s="24" t="s">
        <v>248</v>
      </c>
      <c r="N81" s="24" t="s">
        <v>248</v>
      </c>
      <c r="O81" s="24" t="s">
        <v>40</v>
      </c>
      <c r="P81" s="24" t="s">
        <v>250</v>
      </c>
      <c r="Q81" s="24" t="s">
        <v>251</v>
      </c>
      <c r="R81" s="24" t="s">
        <v>252</v>
      </c>
      <c r="S81" s="24" t="s">
        <v>250</v>
      </c>
      <c r="AB81" s="5"/>
      <c r="AI81" s="50"/>
      <c r="AJ81" s="50"/>
      <c r="AK81" s="50"/>
      <c r="AL81" s="50"/>
      <c r="AM81" s="50"/>
      <c r="AN81" s="50"/>
      <c r="AO81" s="50"/>
      <c r="AP81" s="50"/>
      <c r="AQ81" s="50"/>
      <c r="AR81" s="50"/>
      <c r="AS81" s="50"/>
      <c r="AT81" s="50"/>
      <c r="AU81" s="50"/>
      <c r="AV81" s="50"/>
      <c r="AW81" s="50"/>
      <c r="AX81" s="50"/>
      <c r="AY81" s="50"/>
      <c r="AZ81" s="50"/>
      <c r="BA81" s="50"/>
      <c r="BB81" s="50"/>
      <c r="BC81" s="337"/>
      <c r="BD81" s="97"/>
      <c r="BN81" s="97"/>
      <c r="BO81" s="166"/>
      <c r="BQ81" s="132"/>
      <c r="BR81" s="244">
        <v>8</v>
      </c>
      <c r="BS81" s="258" t="s">
        <v>3263</v>
      </c>
      <c r="BT81" s="258" t="s">
        <v>3264</v>
      </c>
      <c r="BX81" s="200" t="s">
        <v>3096</v>
      </c>
      <c r="BY81" s="200">
        <f>BY73+BY74+BY75+BY76+BY77+BY78+BY79+BY80</f>
        <v>0</v>
      </c>
      <c r="CA81" s="1" t="s">
        <v>3096</v>
      </c>
      <c r="CB81" s="1">
        <f>CB73+CB74+CB75+CB76+CB77+CB78+CB79+CB80</f>
        <v>0</v>
      </c>
      <c r="CJ81" s="123"/>
      <c r="CK81" s="133" t="s">
        <v>2872</v>
      </c>
      <c r="CL81" s="128"/>
      <c r="CM81" s="127"/>
      <c r="CN81" s="133" t="s">
        <v>2798</v>
      </c>
      <c r="CO81" s="128"/>
      <c r="CP81" s="127"/>
      <c r="CQ81" s="6"/>
      <c r="CR81" s="138"/>
      <c r="CS81" s="133" t="s">
        <v>3064</v>
      </c>
      <c r="CT81" s="65" t="str">
        <f>CO135</f>
        <v/>
      </c>
      <c r="CW81" s="170"/>
      <c r="CY81" s="122" t="s">
        <v>2853</v>
      </c>
      <c r="DC81" s="182"/>
      <c r="DD81" s="1" t="s">
        <v>2981</v>
      </c>
      <c r="DE81" s="168" t="s">
        <v>2980</v>
      </c>
      <c r="DF81" s="65">
        <f>DJ38</f>
        <v>0</v>
      </c>
      <c r="DG81" s="1" t="s">
        <v>2986</v>
      </c>
      <c r="DH81" s="1">
        <f>IF(DF85=1,DH80,0)</f>
        <v>0</v>
      </c>
      <c r="DK81" s="182"/>
      <c r="DM81" s="2"/>
      <c r="DN81" s="37" t="s">
        <v>3356</v>
      </c>
      <c r="DO81" s="37" t="s">
        <v>3356</v>
      </c>
      <c r="DP81" s="37" t="s">
        <v>3217</v>
      </c>
      <c r="DQ81" s="37" t="s">
        <v>3355</v>
      </c>
      <c r="DR81" s="37" t="s">
        <v>656</v>
      </c>
      <c r="DS81" s="22"/>
      <c r="DT81" s="6"/>
      <c r="DZ81" s="48"/>
      <c r="ED81" s="3"/>
      <c r="EE81" s="50"/>
      <c r="EF81" s="50"/>
      <c r="EG81" s="50"/>
      <c r="EH81" s="50"/>
      <c r="EI81" s="50"/>
      <c r="EJ81" s="50"/>
      <c r="EK81" s="50"/>
      <c r="EL81" s="50"/>
      <c r="EM81" s="50"/>
      <c r="EN81" s="50"/>
      <c r="EO81" s="50"/>
      <c r="EP81" s="50"/>
      <c r="EQ81" s="50"/>
      <c r="ER81" s="50"/>
      <c r="ET81" s="97"/>
      <c r="FH81" s="97"/>
      <c r="FK81" s="135"/>
      <c r="FY81" s="2"/>
      <c r="FZ81" s="37" t="s">
        <v>3353</v>
      </c>
      <c r="GA81" s="37" t="s">
        <v>3353</v>
      </c>
      <c r="GB81" s="37" t="s">
        <v>1014</v>
      </c>
      <c r="GC81" s="37" t="s">
        <v>3858</v>
      </c>
      <c r="GD81" s="37" t="s">
        <v>1019</v>
      </c>
      <c r="GF81" s="22"/>
      <c r="GL81" s="48"/>
      <c r="GV81" s="128"/>
      <c r="GW81" s="4"/>
      <c r="GX81" s="37" t="s">
        <v>491</v>
      </c>
      <c r="GY81" s="37" t="s">
        <v>491</v>
      </c>
      <c r="GZ81" s="37" t="s">
        <v>492</v>
      </c>
      <c r="HA81" s="37" t="s">
        <v>491</v>
      </c>
      <c r="HB81" s="37" t="s">
        <v>3216</v>
      </c>
      <c r="HC81" s="37"/>
      <c r="HJ81" s="48"/>
      <c r="HK81" s="170"/>
      <c r="HM81" s="1" t="s">
        <v>3862</v>
      </c>
      <c r="HN81" s="1">
        <f>IF(HN19=HM81,10,0)</f>
        <v>0</v>
      </c>
      <c r="IB81" s="170"/>
      <c r="IC81" s="405"/>
      <c r="ID81" s="527" t="s">
        <v>177</v>
      </c>
      <c r="IE81" s="528" t="s">
        <v>177</v>
      </c>
      <c r="IF81" s="37" t="s">
        <v>3864</v>
      </c>
      <c r="IG81" s="37"/>
      <c r="IH81" s="37"/>
      <c r="II81" s="1"/>
      <c r="IJ81" s="1"/>
      <c r="IK81" s="1"/>
      <c r="IL81" s="1"/>
      <c r="IM81" s="405"/>
      <c r="IN81" s="178"/>
      <c r="IO81" s="1"/>
      <c r="IP81" s="1"/>
      <c r="IQ81" s="1"/>
      <c r="IR81" s="1"/>
      <c r="IS81" s="1"/>
      <c r="IT81" s="1"/>
      <c r="IU81" s="1"/>
      <c r="IV81" s="1"/>
      <c r="IW81" s="1"/>
      <c r="IX81" s="1"/>
      <c r="IY81" s="1"/>
      <c r="IZ81" s="1"/>
      <c r="JA81" s="1"/>
      <c r="JB81" s="1"/>
      <c r="JC81" s="178"/>
      <c r="JD81" s="135"/>
    </row>
    <row r="82" spans="9:264">
      <c r="I82" s="22"/>
      <c r="J82" s="156" t="s">
        <v>253</v>
      </c>
      <c r="K82" s="156" t="s">
        <v>253</v>
      </c>
      <c r="L82" s="22">
        <v>18</v>
      </c>
      <c r="M82" s="22">
        <v>35</v>
      </c>
      <c r="N82" s="22">
        <v>12.4</v>
      </c>
      <c r="O82" s="22">
        <v>-8</v>
      </c>
      <c r="P82" s="22">
        <v>-14</v>
      </c>
      <c r="Q82" s="22">
        <v>-39</v>
      </c>
      <c r="R82" s="22" t="s">
        <v>254</v>
      </c>
      <c r="S82" s="22" t="s">
        <v>255</v>
      </c>
      <c r="AB82" s="5"/>
      <c r="AI82" s="50"/>
      <c r="AJ82" s="50"/>
      <c r="AK82" s="50"/>
      <c r="AL82" s="50"/>
      <c r="AM82" s="50"/>
      <c r="AN82" s="50"/>
      <c r="AO82" s="50"/>
      <c r="AP82" s="333" t="s">
        <v>2813</v>
      </c>
      <c r="AQ82" s="335" t="s">
        <v>2814</v>
      </c>
      <c r="AR82" s="285"/>
      <c r="AS82" s="285"/>
      <c r="AT82" s="50"/>
      <c r="AU82" s="50"/>
      <c r="AV82" s="50"/>
      <c r="AW82" s="50"/>
      <c r="AX82" s="50"/>
      <c r="AY82" s="50"/>
      <c r="AZ82" s="50"/>
      <c r="BA82" s="50"/>
      <c r="BB82" s="50"/>
      <c r="BC82" s="3"/>
      <c r="BD82" s="97"/>
      <c r="BE82" s="206" t="s">
        <v>4009</v>
      </c>
      <c r="BF82" s="125"/>
      <c r="BG82" s="126"/>
      <c r="BN82" s="97"/>
      <c r="BO82" s="166"/>
      <c r="BQ82" s="132"/>
      <c r="BR82" s="244">
        <v>1000</v>
      </c>
      <c r="BS82" s="258" t="s">
        <v>3120</v>
      </c>
      <c r="BT82" s="65" t="s">
        <v>3131</v>
      </c>
      <c r="CJ82" s="123"/>
      <c r="CK82" s="206" t="s">
        <v>2854</v>
      </c>
      <c r="CL82" s="125"/>
      <c r="CM82" s="126"/>
      <c r="CN82" s="206" t="s">
        <v>2854</v>
      </c>
      <c r="CO82" s="125"/>
      <c r="CP82" s="126"/>
      <c r="CQ82" s="6"/>
      <c r="CR82" s="138"/>
      <c r="CS82" s="38" t="s">
        <v>3061</v>
      </c>
      <c r="CT82" s="127" t="b">
        <f>ISNUMBER(CT81)</f>
        <v>0</v>
      </c>
      <c r="CW82" s="170"/>
      <c r="CY82" s="229" t="s">
        <v>3097</v>
      </c>
      <c r="CZ82" s="233">
        <f>CO79</f>
        <v>6</v>
      </c>
      <c r="DC82" s="182"/>
      <c r="DD82" s="118">
        <f>DH42</f>
        <v>0</v>
      </c>
      <c r="DE82" s="128" t="s">
        <v>2983</v>
      </c>
      <c r="DF82" s="128" t="b">
        <f>ISNUMBER(DF81)</f>
        <v>1</v>
      </c>
      <c r="DG82" s="1" t="s">
        <v>2988</v>
      </c>
      <c r="DH82" s="1">
        <f>-1*DH81</f>
        <v>0</v>
      </c>
      <c r="DI82" s="1" t="s">
        <v>3008</v>
      </c>
      <c r="DK82" s="182"/>
      <c r="DM82" s="2"/>
      <c r="DN82" s="37" t="s">
        <v>3217</v>
      </c>
      <c r="DO82" s="37" t="s">
        <v>3217</v>
      </c>
      <c r="DP82" s="37" t="s">
        <v>3217</v>
      </c>
      <c r="DQ82" s="37" t="s">
        <v>3355</v>
      </c>
      <c r="DR82" s="37" t="s">
        <v>656</v>
      </c>
      <c r="DS82" s="22"/>
      <c r="DT82" s="6"/>
      <c r="DZ82" s="48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T82" s="97"/>
      <c r="FH82" s="97"/>
      <c r="FK82" s="135"/>
      <c r="FY82" s="2"/>
      <c r="FZ82" s="37" t="s">
        <v>1014</v>
      </c>
      <c r="GA82" s="37" t="s">
        <v>1014</v>
      </c>
      <c r="GB82" s="37" t="s">
        <v>1014</v>
      </c>
      <c r="GC82" s="37" t="s">
        <v>3858</v>
      </c>
      <c r="GD82" s="37" t="s">
        <v>1019</v>
      </c>
      <c r="GF82" s="22"/>
      <c r="GL82" s="48"/>
      <c r="GV82" s="128"/>
      <c r="GW82" s="4"/>
      <c r="GX82" s="37" t="s">
        <v>2524</v>
      </c>
      <c r="GY82" s="37" t="s">
        <v>2524</v>
      </c>
      <c r="GZ82" s="37" t="s">
        <v>2525</v>
      </c>
      <c r="HA82" s="37" t="s">
        <v>2524</v>
      </c>
      <c r="HB82" s="37" t="s">
        <v>2522</v>
      </c>
      <c r="HC82" s="37"/>
      <c r="HJ82" s="48"/>
      <c r="HK82" s="170"/>
      <c r="HM82" s="1" t="s">
        <v>3688</v>
      </c>
      <c r="HN82" s="170">
        <f>HN78+HN79+HN81+HN80</f>
        <v>0</v>
      </c>
      <c r="IB82" s="170"/>
      <c r="IC82" s="405"/>
      <c r="ID82" s="527" t="s">
        <v>672</v>
      </c>
      <c r="IE82" s="528" t="s">
        <v>672</v>
      </c>
      <c r="IF82" s="37" t="s">
        <v>3865</v>
      </c>
      <c r="IG82" s="37"/>
      <c r="IH82" s="37"/>
      <c r="II82" s="1"/>
      <c r="IJ82" s="1"/>
      <c r="IK82" s="1"/>
      <c r="IL82" s="1"/>
      <c r="IM82" s="405"/>
      <c r="IN82" s="178"/>
      <c r="IO82" s="1"/>
      <c r="IP82" s="1"/>
      <c r="IQ82" s="1" t="s">
        <v>3634</v>
      </c>
      <c r="IR82" s="1" t="s">
        <v>3800</v>
      </c>
      <c r="IS82" s="1"/>
      <c r="IT82" s="1"/>
      <c r="IU82" s="1"/>
      <c r="IV82" s="1"/>
      <c r="IW82" s="1"/>
      <c r="IX82" s="1"/>
      <c r="IY82" s="1"/>
      <c r="IZ82" s="1"/>
      <c r="JA82" s="1"/>
      <c r="JB82" s="1"/>
      <c r="JC82" s="178"/>
      <c r="JD82" s="135"/>
    </row>
    <row r="83" spans="9:264">
      <c r="I83" s="22"/>
      <c r="J83" s="156" t="s">
        <v>256</v>
      </c>
      <c r="K83" s="156" t="s">
        <v>256</v>
      </c>
      <c r="L83" s="22">
        <v>18</v>
      </c>
      <c r="M83" s="22">
        <v>47</v>
      </c>
      <c r="N83" s="22">
        <v>10.5</v>
      </c>
      <c r="O83" s="22">
        <v>-4</v>
      </c>
      <c r="P83" s="22">
        <v>-44</v>
      </c>
      <c r="Q83" s="22">
        <v>-52</v>
      </c>
      <c r="R83" s="22" t="s">
        <v>257</v>
      </c>
      <c r="S83" s="22" t="s">
        <v>258</v>
      </c>
      <c r="AB83" s="5"/>
      <c r="AI83" s="50"/>
      <c r="AJ83" s="50"/>
      <c r="AK83" s="50"/>
      <c r="AL83" s="50"/>
      <c r="AM83" s="50"/>
      <c r="AN83" s="50"/>
      <c r="AO83" s="50"/>
      <c r="AP83" s="334" t="s">
        <v>2805</v>
      </c>
      <c r="AQ83" s="128">
        <v>1</v>
      </c>
      <c r="AR83" s="274" t="str">
        <f>IF(AQ87=BK52,BK52,"")</f>
        <v>Eνεργή οθόνη 1</v>
      </c>
      <c r="AS83" s="285"/>
      <c r="AT83" s="50"/>
      <c r="AU83" s="50"/>
      <c r="AV83" s="50"/>
      <c r="AW83" s="50"/>
      <c r="AX83" s="50"/>
      <c r="AY83" s="50"/>
      <c r="AZ83" s="50"/>
      <c r="BA83" s="50"/>
      <c r="BB83" s="50"/>
      <c r="BC83" s="3"/>
      <c r="BD83" s="97"/>
      <c r="BE83" s="38" t="s">
        <v>4010</v>
      </c>
      <c r="BF83" s="65">
        <f>EJ68</f>
        <v>2</v>
      </c>
      <c r="BG83" s="127"/>
      <c r="BN83" s="97"/>
      <c r="BO83" s="166"/>
      <c r="BR83" s="237"/>
      <c r="BS83" s="128"/>
      <c r="CJ83" s="123"/>
      <c r="CK83" s="38" t="s">
        <v>3023</v>
      </c>
      <c r="CL83" s="65" t="str">
        <f>BT24</f>
        <v/>
      </c>
      <c r="CM83" s="127"/>
      <c r="CN83" s="38" t="s">
        <v>3023</v>
      </c>
      <c r="CO83" s="65" t="str">
        <f>BT28</f>
        <v/>
      </c>
      <c r="CP83" s="127"/>
      <c r="CQ83" s="6"/>
      <c r="CR83" s="138"/>
      <c r="CS83" s="38" t="s">
        <v>2855</v>
      </c>
      <c r="CT83" s="223">
        <f>IF(CT82=CT75,0,CT81)</f>
        <v>0</v>
      </c>
      <c r="CW83" s="170"/>
      <c r="CY83" s="222" t="s">
        <v>3098</v>
      </c>
      <c r="CZ83" s="233">
        <f>CO147</f>
        <v>6</v>
      </c>
      <c r="DC83" s="182"/>
      <c r="DD83" s="1" t="s">
        <v>2993</v>
      </c>
      <c r="DE83" s="128" t="s">
        <v>2985</v>
      </c>
      <c r="DF83" s="128">
        <f>DF82*1</f>
        <v>1</v>
      </c>
      <c r="DG83" s="1" t="s">
        <v>2990</v>
      </c>
      <c r="DH83" s="406">
        <f>IF(DF85=1,DH82,DH80)</f>
        <v>0</v>
      </c>
      <c r="DI83" s="1" t="s">
        <v>3009</v>
      </c>
      <c r="DJ83" s="406">
        <f>DH83</f>
        <v>0</v>
      </c>
      <c r="DK83" s="182"/>
      <c r="DM83" s="2"/>
      <c r="DN83" s="37" t="s">
        <v>3357</v>
      </c>
      <c r="DO83" s="37" t="s">
        <v>3357</v>
      </c>
      <c r="DP83" s="37" t="s">
        <v>669</v>
      </c>
      <c r="DQ83" s="37" t="s">
        <v>3358</v>
      </c>
      <c r="DR83" s="37" t="s">
        <v>670</v>
      </c>
      <c r="DS83" s="22"/>
      <c r="DT83" s="6"/>
      <c r="DZ83" s="48"/>
      <c r="ED83" s="3"/>
      <c r="EE83" s="3"/>
      <c r="EF83" s="3"/>
      <c r="EG83" s="3"/>
      <c r="EH83" s="554" t="str">
        <f>AP98</f>
        <v/>
      </c>
      <c r="EI83" s="505"/>
      <c r="EJ83" s="414" t="s">
        <v>3591</v>
      </c>
      <c r="EK83" s="48"/>
      <c r="EL83" s="48"/>
      <c r="EM83" s="554" t="str">
        <f>AS98</f>
        <v/>
      </c>
      <c r="EN83" s="505"/>
      <c r="EO83" s="505"/>
      <c r="EP83" s="3"/>
      <c r="EQ83" s="3"/>
      <c r="ER83" s="3"/>
      <c r="FK83" s="135"/>
      <c r="FY83" s="2"/>
      <c r="FZ83" s="37" t="s">
        <v>3354</v>
      </c>
      <c r="GA83" s="37" t="s">
        <v>3354</v>
      </c>
      <c r="GB83" s="37" t="s">
        <v>3217</v>
      </c>
      <c r="GC83" s="37" t="s">
        <v>3866</v>
      </c>
      <c r="GD83" s="37" t="s">
        <v>658</v>
      </c>
      <c r="GF83" s="22"/>
      <c r="GL83" s="48"/>
      <c r="GV83" s="128"/>
      <c r="GW83" s="4"/>
      <c r="GX83" s="37" t="s">
        <v>2588</v>
      </c>
      <c r="GY83" s="37" t="s">
        <v>2588</v>
      </c>
      <c r="GZ83" s="37" t="s">
        <v>2589</v>
      </c>
      <c r="HA83" s="37" t="s">
        <v>2588</v>
      </c>
      <c r="HB83" s="37" t="s">
        <v>3232</v>
      </c>
      <c r="HC83" s="37"/>
      <c r="HJ83" s="48"/>
      <c r="HK83" s="170"/>
      <c r="HM83" s="191">
        <v>11</v>
      </c>
      <c r="IB83" s="170"/>
      <c r="IC83" s="405"/>
      <c r="ID83" s="527" t="s">
        <v>2237</v>
      </c>
      <c r="IE83" s="528" t="s">
        <v>2237</v>
      </c>
      <c r="IF83" s="37" t="s">
        <v>3868</v>
      </c>
      <c r="IG83" s="37"/>
      <c r="IH83" s="37"/>
      <c r="II83" s="1"/>
      <c r="IJ83" s="1"/>
      <c r="IK83" s="1"/>
      <c r="IL83" s="1"/>
      <c r="IM83" s="405"/>
      <c r="IN83" s="178"/>
      <c r="IO83" s="1"/>
      <c r="IP83" s="1"/>
      <c r="IQ83" s="187">
        <f>IQ26</f>
        <v>0</v>
      </c>
      <c r="IR83" s="190">
        <f>IQ76</f>
        <v>0</v>
      </c>
      <c r="IS83" s="1"/>
      <c r="IT83" s="1"/>
      <c r="IU83" s="1"/>
      <c r="IV83" s="1"/>
      <c r="IW83" s="1"/>
      <c r="IX83" s="1"/>
      <c r="IY83" s="1"/>
      <c r="IZ83" s="1"/>
      <c r="JA83" s="1"/>
      <c r="JB83" s="1"/>
      <c r="JC83" s="178"/>
      <c r="JD83" s="135"/>
    </row>
    <row r="84" spans="9:264">
      <c r="I84" s="22"/>
      <c r="J84" s="156" t="s">
        <v>259</v>
      </c>
      <c r="K84" s="156" t="s">
        <v>259</v>
      </c>
      <c r="L84" s="22">
        <v>18</v>
      </c>
      <c r="M84" s="22">
        <v>29</v>
      </c>
      <c r="N84" s="22">
        <v>11.9</v>
      </c>
      <c r="O84" s="22">
        <v>-14</v>
      </c>
      <c r="P84" s="22">
        <v>-33</v>
      </c>
      <c r="Q84" s="22">
        <v>-57</v>
      </c>
      <c r="R84" s="22" t="s">
        <v>260</v>
      </c>
      <c r="S84" s="22" t="s">
        <v>261</v>
      </c>
      <c r="AB84" s="5"/>
      <c r="AI84" s="50"/>
      <c r="AJ84" s="50"/>
      <c r="AK84" s="50"/>
      <c r="AL84" s="50"/>
      <c r="AM84" s="50"/>
      <c r="AN84" s="50"/>
      <c r="AO84" s="50"/>
      <c r="AP84" s="285" t="s">
        <v>2806</v>
      </c>
      <c r="AQ84" s="336" t="s">
        <v>2815</v>
      </c>
      <c r="AR84" s="285" t="str">
        <f>IF(AQ87=BK53,BK53,"")</f>
        <v/>
      </c>
      <c r="AS84" s="285"/>
      <c r="AT84" s="50"/>
      <c r="AU84" s="50"/>
      <c r="AV84" s="50"/>
      <c r="AW84" s="50"/>
      <c r="AX84" s="50"/>
      <c r="AY84" s="50"/>
      <c r="AZ84" s="50"/>
      <c r="BA84" s="50"/>
      <c r="BB84" s="50"/>
      <c r="BC84" s="3"/>
      <c r="BD84" s="97"/>
      <c r="BE84" s="38" t="s">
        <v>2818</v>
      </c>
      <c r="BF84" s="128" t="b">
        <f>ISNUMBER(BF83)</f>
        <v>1</v>
      </c>
      <c r="BG84" s="127" t="b">
        <v>0</v>
      </c>
      <c r="BN84" s="97"/>
      <c r="BO84" s="166"/>
      <c r="BR84" s="237"/>
      <c r="BS84" s="128"/>
      <c r="BY84" s="1" t="s">
        <v>3126</v>
      </c>
      <c r="CB84" s="106">
        <f>IF(CB81&gt;1,1000,BY81)</f>
        <v>0</v>
      </c>
      <c r="CJ84" s="123"/>
      <c r="CK84" s="38" t="s">
        <v>3024</v>
      </c>
      <c r="CL84" s="65" t="str">
        <f>BT25</f>
        <v/>
      </c>
      <c r="CM84" s="127"/>
      <c r="CN84" s="38" t="s">
        <v>3024</v>
      </c>
      <c r="CO84" s="65" t="str">
        <f>BT29</f>
        <v/>
      </c>
      <c r="CP84" s="127"/>
      <c r="CQ84" s="6"/>
      <c r="CR84" s="138"/>
      <c r="CS84" s="95"/>
      <c r="CT84" s="80" t="s">
        <v>2815</v>
      </c>
      <c r="CW84" s="170"/>
      <c r="CY84" s="200" t="s">
        <v>3096</v>
      </c>
      <c r="CZ84" s="234">
        <f>CZ82+CZ83</f>
        <v>12</v>
      </c>
      <c r="DC84" s="182"/>
      <c r="DD84" s="118">
        <f>DH47</f>
        <v>0</v>
      </c>
      <c r="DE84" s="128" t="s">
        <v>2987</v>
      </c>
      <c r="DF84" s="6">
        <f>IF(DF83=1,DF81,0)</f>
        <v>0</v>
      </c>
      <c r="DH84" s="175"/>
      <c r="DK84" s="182"/>
      <c r="DM84" s="2"/>
      <c r="DN84" s="37" t="s">
        <v>669</v>
      </c>
      <c r="DO84" s="37" t="s">
        <v>669</v>
      </c>
      <c r="DP84" s="37" t="s">
        <v>669</v>
      </c>
      <c r="DQ84" s="37" t="s">
        <v>3358</v>
      </c>
      <c r="DR84" s="37" t="s">
        <v>670</v>
      </c>
      <c r="DS84" s="22"/>
      <c r="DT84" s="6"/>
      <c r="DZ84" s="48"/>
      <c r="ED84" s="3"/>
      <c r="EE84" s="3"/>
      <c r="EF84" s="3"/>
      <c r="EG84" s="3"/>
      <c r="EH84" s="554" t="str">
        <f>AP99</f>
        <v/>
      </c>
      <c r="EI84" s="505"/>
      <c r="EJ84" s="48" t="s">
        <v>3598</v>
      </c>
      <c r="EK84" s="48"/>
      <c r="EL84" s="48"/>
      <c r="EM84" s="554" t="str">
        <f>AS99</f>
        <v/>
      </c>
      <c r="EN84" s="505"/>
      <c r="EO84" s="505"/>
      <c r="EP84" s="3"/>
      <c r="EQ84" s="3"/>
      <c r="ER84" s="3"/>
      <c r="FK84" s="135"/>
      <c r="FY84" s="2"/>
      <c r="FZ84" s="37" t="s">
        <v>655</v>
      </c>
      <c r="GA84" s="37" t="s">
        <v>655</v>
      </c>
      <c r="GB84" s="37" t="s">
        <v>3217</v>
      </c>
      <c r="GC84" s="37" t="s">
        <v>3870</v>
      </c>
      <c r="GD84" s="37" t="s">
        <v>658</v>
      </c>
      <c r="GF84" s="22"/>
      <c r="GL84" s="48"/>
      <c r="GV84" s="128"/>
      <c r="GW84" s="4"/>
      <c r="GX84" s="37" t="s">
        <v>113</v>
      </c>
      <c r="GY84" s="37" t="s">
        <v>113</v>
      </c>
      <c r="GZ84" s="37" t="s">
        <v>114</v>
      </c>
      <c r="HA84" s="37" t="s">
        <v>113</v>
      </c>
      <c r="HB84" s="37" t="s">
        <v>109</v>
      </c>
      <c r="HC84" s="37"/>
      <c r="HJ84" s="48"/>
      <c r="HK84" s="170"/>
      <c r="HM84" s="1" t="s">
        <v>3867</v>
      </c>
      <c r="IB84" s="170"/>
      <c r="IC84" s="405"/>
      <c r="ID84" s="527" t="s">
        <v>104</v>
      </c>
      <c r="IE84" s="528" t="s">
        <v>104</v>
      </c>
      <c r="IF84" s="37" t="s">
        <v>3871</v>
      </c>
      <c r="IG84" s="37"/>
      <c r="IH84" s="37"/>
      <c r="II84" s="1"/>
      <c r="IJ84" s="1"/>
      <c r="IK84" s="1"/>
      <c r="IL84" s="1"/>
      <c r="IM84" s="405"/>
      <c r="IN84" s="178"/>
      <c r="IO84" s="1"/>
      <c r="IP84" s="1" t="s">
        <v>3761</v>
      </c>
      <c r="IQ84" s="1">
        <f>IF(IR83&lt;10,IR83,0)</f>
        <v>0</v>
      </c>
      <c r="IR84" s="1"/>
      <c r="IS84" s="1"/>
      <c r="IT84" s="547">
        <f>IQ96</f>
        <v>0</v>
      </c>
      <c r="IU84" s="1"/>
      <c r="IV84" s="1"/>
      <c r="IW84" s="1"/>
      <c r="IX84" s="1"/>
      <c r="IY84" s="1"/>
      <c r="IZ84" s="1"/>
      <c r="JA84" s="1"/>
      <c r="JB84" s="1"/>
      <c r="JC84" s="178"/>
      <c r="JD84" s="135"/>
    </row>
    <row r="85" spans="9:264">
      <c r="I85" s="28" t="s">
        <v>262</v>
      </c>
      <c r="J85" s="158" t="s">
        <v>263</v>
      </c>
      <c r="K85" s="158" t="s">
        <v>263</v>
      </c>
      <c r="L85" s="28" t="s">
        <v>264</v>
      </c>
      <c r="M85" s="28" t="s">
        <v>265</v>
      </c>
      <c r="N85" s="28" t="s">
        <v>266</v>
      </c>
      <c r="O85" s="28" t="s">
        <v>265</v>
      </c>
      <c r="P85" s="28" t="s">
        <v>264</v>
      </c>
      <c r="Q85" s="28" t="s">
        <v>266</v>
      </c>
      <c r="R85" s="28"/>
      <c r="S85" s="29"/>
      <c r="AB85" s="5"/>
      <c r="AI85" s="50"/>
      <c r="AJ85" s="50"/>
      <c r="AK85" s="50"/>
      <c r="AL85" s="50"/>
      <c r="AM85" s="50"/>
      <c r="AN85" s="50"/>
      <c r="AO85" s="50"/>
      <c r="AP85" s="285" t="s">
        <v>2807</v>
      </c>
      <c r="AQ85" s="285"/>
      <c r="AR85" s="285" t="str">
        <f>IF(AQ87=BK54,BK54,"")</f>
        <v/>
      </c>
      <c r="AS85" s="285"/>
      <c r="AT85" s="50"/>
      <c r="AU85" s="50"/>
      <c r="AV85" s="50"/>
      <c r="AW85" s="50"/>
      <c r="AX85" s="50"/>
      <c r="AY85" s="50"/>
      <c r="AZ85" s="50"/>
      <c r="BA85" s="50"/>
      <c r="BB85" s="50"/>
      <c r="BC85" s="3"/>
      <c r="BD85" s="97"/>
      <c r="BE85" s="38" t="s">
        <v>4003</v>
      </c>
      <c r="BF85" s="128">
        <f>IF(BF84=BG84,1,BF83)</f>
        <v>2</v>
      </c>
      <c r="BG85" s="127"/>
      <c r="BN85" s="97"/>
      <c r="BO85" s="166"/>
      <c r="BR85" s="237"/>
      <c r="BS85" s="128"/>
      <c r="BT85" s="128"/>
      <c r="BU85" s="128"/>
      <c r="BV85" s="128"/>
      <c r="BW85" s="128"/>
      <c r="BX85" s="128"/>
      <c r="BY85" s="132"/>
      <c r="CJ85" s="123"/>
      <c r="CK85" s="38" t="s">
        <v>2787</v>
      </c>
      <c r="CL85" s="65" t="str">
        <f>BT26</f>
        <v/>
      </c>
      <c r="CM85" s="127"/>
      <c r="CN85" s="38" t="s">
        <v>2787</v>
      </c>
      <c r="CO85" s="65" t="str">
        <f>BT30</f>
        <v/>
      </c>
      <c r="CP85" s="127"/>
      <c r="CQ85" s="6"/>
      <c r="CR85" s="138"/>
      <c r="CS85" s="140" t="s">
        <v>2863</v>
      </c>
      <c r="CT85" s="126">
        <f>CT77</f>
        <v>2000</v>
      </c>
      <c r="CW85" s="170"/>
      <c r="CY85" s="108" t="s">
        <v>3147</v>
      </c>
      <c r="DC85" s="182"/>
      <c r="DD85" s="407" t="s">
        <v>2997</v>
      </c>
      <c r="DE85" s="132" t="s">
        <v>2989</v>
      </c>
      <c r="DF85" s="132">
        <f>IF(DF84&lt;0,1,0)</f>
        <v>0</v>
      </c>
      <c r="DG85" s="108" t="s">
        <v>2993</v>
      </c>
      <c r="DI85" s="1" t="s">
        <v>3010</v>
      </c>
      <c r="DK85" s="182"/>
      <c r="DM85" s="2"/>
      <c r="DN85" s="37" t="s">
        <v>3359</v>
      </c>
      <c r="DO85" s="37" t="s">
        <v>3359</v>
      </c>
      <c r="DP85" s="37" t="s">
        <v>674</v>
      </c>
      <c r="DQ85" s="37" t="s">
        <v>3576</v>
      </c>
      <c r="DR85" s="37" t="s">
        <v>675</v>
      </c>
      <c r="DS85" s="22"/>
      <c r="DT85" s="6"/>
      <c r="DZ85" s="48"/>
      <c r="ED85" s="3"/>
      <c r="EE85" s="3"/>
      <c r="EF85" s="3"/>
      <c r="EG85" s="3"/>
      <c r="EH85" s="582" t="str">
        <f ca="1">IF(EV24=3,EV66,"Αδρανής Οθόνη!")</f>
        <v>Eνεργή οθόνη 3</v>
      </c>
      <c r="EI85" s="503"/>
      <c r="EJ85" s="48"/>
      <c r="EK85" s="48" t="s">
        <v>3580</v>
      </c>
      <c r="EL85" s="48"/>
      <c r="EM85" s="48"/>
      <c r="EN85" s="57">
        <v>2000</v>
      </c>
      <c r="EO85" s="506"/>
      <c r="EP85" s="3"/>
      <c r="EQ85" s="3"/>
      <c r="ER85" s="3"/>
      <c r="FK85" s="135"/>
      <c r="FY85" s="2"/>
      <c r="FZ85" s="37" t="s">
        <v>3356</v>
      </c>
      <c r="GA85" s="37" t="s">
        <v>3356</v>
      </c>
      <c r="GB85" s="37" t="s">
        <v>3217</v>
      </c>
      <c r="GC85" s="37" t="s">
        <v>3866</v>
      </c>
      <c r="GD85" s="37" t="s">
        <v>658</v>
      </c>
      <c r="GF85" s="22"/>
      <c r="GL85" s="48"/>
      <c r="GV85" s="128"/>
      <c r="GW85" s="4"/>
      <c r="GX85" s="37" t="s">
        <v>176</v>
      </c>
      <c r="GY85" s="37" t="s">
        <v>176</v>
      </c>
      <c r="GZ85" s="37" t="s">
        <v>177</v>
      </c>
      <c r="HA85" s="37" t="s">
        <v>176</v>
      </c>
      <c r="HB85" s="37" t="s">
        <v>173</v>
      </c>
      <c r="HC85" s="37"/>
      <c r="HJ85" s="48"/>
      <c r="HK85" s="170"/>
      <c r="HM85" s="1" t="s">
        <v>3700</v>
      </c>
      <c r="HN85" s="1">
        <f>IF(HN19=HM85,11,0)</f>
        <v>0</v>
      </c>
      <c r="IB85" s="170"/>
      <c r="IC85" s="405"/>
      <c r="ID85" s="527" t="s">
        <v>3874</v>
      </c>
      <c r="IE85" s="528" t="s">
        <v>3874</v>
      </c>
      <c r="IF85" s="37"/>
      <c r="IG85" s="37"/>
      <c r="IH85" s="37"/>
      <c r="II85" s="1"/>
      <c r="IJ85" s="1"/>
      <c r="IK85" s="1"/>
      <c r="IL85" s="1"/>
      <c r="IM85" s="405"/>
      <c r="IN85" s="178"/>
      <c r="IO85" s="1"/>
      <c r="IP85" s="1" t="s">
        <v>3766</v>
      </c>
      <c r="IQ85" s="205">
        <f>IF(IQ84&gt;0,1,0)</f>
        <v>0</v>
      </c>
      <c r="IR85" s="1"/>
      <c r="IS85" s="1"/>
      <c r="IT85" s="65">
        <v>0</v>
      </c>
      <c r="IU85" s="141"/>
      <c r="IV85" s="65" t="s">
        <v>3694</v>
      </c>
      <c r="IW85" s="65" t="s">
        <v>3694</v>
      </c>
      <c r="IX85" s="65" t="s">
        <v>3694</v>
      </c>
      <c r="IY85" s="65" t="s">
        <v>3694</v>
      </c>
      <c r="IZ85" s="65" t="s">
        <v>3694</v>
      </c>
      <c r="JA85" s="1"/>
      <c r="JB85" s="1"/>
      <c r="JC85" s="178"/>
      <c r="JD85" s="135"/>
    </row>
    <row r="86" spans="9:264">
      <c r="I86" s="22"/>
      <c r="J86" s="159" t="s">
        <v>267</v>
      </c>
      <c r="K86" s="159" t="s">
        <v>267</v>
      </c>
      <c r="L86" s="30">
        <v>5</v>
      </c>
      <c r="M86" s="30">
        <v>5</v>
      </c>
      <c r="N86" s="30">
        <v>34.299999999999997</v>
      </c>
      <c r="O86" s="30">
        <v>10</v>
      </c>
      <c r="P86" s="30">
        <v>42</v>
      </c>
      <c r="Q86" s="30">
        <v>23</v>
      </c>
      <c r="R86" s="30" t="s">
        <v>268</v>
      </c>
      <c r="S86" s="31" t="s">
        <v>269</v>
      </c>
      <c r="AB86" s="5"/>
      <c r="AI86" s="50"/>
      <c r="AJ86" s="50"/>
      <c r="AK86" s="50"/>
      <c r="AL86" s="50"/>
      <c r="AM86" s="50"/>
      <c r="AN86" s="50"/>
      <c r="AO86" s="50"/>
      <c r="AP86" s="285" t="s">
        <v>2816</v>
      </c>
      <c r="AQ86" s="285"/>
      <c r="AR86" s="285" t="str">
        <f>IF(AQ87=BK55,BK55,"")</f>
        <v/>
      </c>
      <c r="AS86" s="285"/>
      <c r="AT86" s="50"/>
      <c r="AU86" s="50"/>
      <c r="AV86" s="50"/>
      <c r="AW86" s="50"/>
      <c r="AX86" s="50"/>
      <c r="AY86" s="50"/>
      <c r="AZ86" s="50"/>
      <c r="BA86" s="50"/>
      <c r="BB86" s="50"/>
      <c r="BC86" s="3"/>
      <c r="BD86" s="97"/>
      <c r="BE86" s="38" t="s">
        <v>4005</v>
      </c>
      <c r="BF86" s="128"/>
      <c r="BG86" s="127"/>
      <c r="BN86" s="97"/>
      <c r="BO86" s="166"/>
      <c r="BR86" s="237"/>
      <c r="BS86" s="128"/>
      <c r="CJ86" s="123"/>
      <c r="CK86" s="38"/>
      <c r="CL86" s="128"/>
      <c r="CM86" s="127"/>
      <c r="CN86" s="38"/>
      <c r="CO86" s="128"/>
      <c r="CP86" s="127"/>
      <c r="CQ86" s="6"/>
      <c r="CR86" s="138"/>
      <c r="CS86" s="38" t="s">
        <v>3063</v>
      </c>
      <c r="CT86" s="127">
        <f>CT80</f>
        <v>0</v>
      </c>
      <c r="CW86" s="170"/>
      <c r="CY86" s="108" t="s">
        <v>3148</v>
      </c>
      <c r="DC86" s="182"/>
      <c r="DD86" s="408">
        <f>DJ80</f>
        <v>0</v>
      </c>
      <c r="DE86" s="128" t="s">
        <v>2992</v>
      </c>
      <c r="DF86" s="128">
        <f>IF(DF85=1,DF84,0)</f>
        <v>0</v>
      </c>
      <c r="DG86" s="1" t="s">
        <v>2994</v>
      </c>
      <c r="DH86" s="1">
        <f>IF(DF85=1,DH78,0)</f>
        <v>0</v>
      </c>
      <c r="DI86" s="1" t="s">
        <v>3011</v>
      </c>
      <c r="DJ86" s="406">
        <f>60*DH88</f>
        <v>0</v>
      </c>
      <c r="DK86" s="182"/>
      <c r="DM86" s="2"/>
      <c r="DN86" s="37" t="s">
        <v>674</v>
      </c>
      <c r="DO86" s="37" t="s">
        <v>674</v>
      </c>
      <c r="DP86" s="37" t="s">
        <v>674</v>
      </c>
      <c r="DQ86" s="37" t="s">
        <v>3576</v>
      </c>
      <c r="DR86" s="37" t="s">
        <v>675</v>
      </c>
      <c r="DS86" s="22"/>
      <c r="DT86" s="6"/>
      <c r="DZ86" s="48"/>
      <c r="ED86" s="3"/>
      <c r="EE86" s="3"/>
      <c r="EF86" s="3"/>
      <c r="EG86" s="3" t="s">
        <v>2069</v>
      </c>
      <c r="EH86" s="414" t="s">
        <v>4094</v>
      </c>
      <c r="EI86" s="48"/>
      <c r="EJ86" s="48"/>
      <c r="EK86" s="48"/>
      <c r="EL86" s="48"/>
      <c r="EM86" s="48"/>
      <c r="EN86" s="414" t="s">
        <v>4091</v>
      </c>
      <c r="EO86" s="48"/>
      <c r="EP86" s="3"/>
      <c r="EQ86" s="3"/>
      <c r="ER86" s="3"/>
      <c r="FK86" s="135"/>
      <c r="FY86" s="2"/>
      <c r="FZ86" s="37" t="s">
        <v>3217</v>
      </c>
      <c r="GA86" s="37" t="s">
        <v>3217</v>
      </c>
      <c r="GB86" s="37" t="s">
        <v>3217</v>
      </c>
      <c r="GC86" s="37" t="s">
        <v>3870</v>
      </c>
      <c r="GD86" s="37" t="s">
        <v>658</v>
      </c>
      <c r="GF86" s="22"/>
      <c r="GL86" s="48"/>
      <c r="GV86" s="128"/>
      <c r="GW86" s="4"/>
      <c r="GX86" s="37" t="s">
        <v>671</v>
      </c>
      <c r="GY86" s="37" t="s">
        <v>671</v>
      </c>
      <c r="GZ86" s="37" t="s">
        <v>672</v>
      </c>
      <c r="HA86" s="37" t="s">
        <v>671</v>
      </c>
      <c r="HB86" s="37" t="s">
        <v>669</v>
      </c>
      <c r="HC86" s="37"/>
      <c r="HJ86" s="48"/>
      <c r="HK86" s="170"/>
      <c r="HM86" s="1" t="s">
        <v>3873</v>
      </c>
      <c r="HN86" s="1">
        <f>IF(HN19=HM86,11,0)</f>
        <v>0</v>
      </c>
      <c r="IB86" s="170"/>
      <c r="IC86" s="405"/>
      <c r="ID86" s="527" t="s">
        <v>3877</v>
      </c>
      <c r="IE86" s="528" t="s">
        <v>3877</v>
      </c>
      <c r="IF86" s="37"/>
      <c r="IG86" s="37" t="s">
        <v>4035</v>
      </c>
      <c r="IH86" s="37">
        <v>1</v>
      </c>
      <c r="II86" s="1"/>
      <c r="IJ86" s="1"/>
      <c r="IK86" s="1"/>
      <c r="IL86" s="1"/>
      <c r="IM86" s="405"/>
      <c r="IN86" s="178"/>
      <c r="IO86" s="1"/>
      <c r="IP86" s="1" t="s">
        <v>3769</v>
      </c>
      <c r="IQ86" s="1">
        <f>IF(IR83&lt;100,IR83,0)</f>
        <v>0</v>
      </c>
      <c r="IR86" s="1"/>
      <c r="IS86" s="1"/>
      <c r="IT86" s="65">
        <v>1</v>
      </c>
      <c r="IU86" s="141"/>
      <c r="IV86" s="65">
        <v>0</v>
      </c>
      <c r="IW86" s="65">
        <v>0</v>
      </c>
      <c r="IX86" s="65">
        <v>0</v>
      </c>
      <c r="IY86" s="65">
        <v>0</v>
      </c>
      <c r="IZ86" s="65">
        <v>0</v>
      </c>
      <c r="JA86" s="1"/>
      <c r="JB86" s="1"/>
      <c r="JC86" s="178"/>
      <c r="JD86" s="135"/>
    </row>
    <row r="87" spans="9:264">
      <c r="I87" s="24" t="s">
        <v>270</v>
      </c>
      <c r="J87" s="157" t="s">
        <v>271</v>
      </c>
      <c r="K87" s="157" t="s">
        <v>271</v>
      </c>
      <c r="L87" s="24" t="s">
        <v>39</v>
      </c>
      <c r="M87" s="24" t="s">
        <v>270</v>
      </c>
      <c r="N87" s="24" t="s">
        <v>270</v>
      </c>
      <c r="O87" s="24" t="s">
        <v>40</v>
      </c>
      <c r="P87" s="24" t="s">
        <v>272</v>
      </c>
      <c r="Q87" s="24" t="s">
        <v>251</v>
      </c>
      <c r="R87" s="24" t="s">
        <v>273</v>
      </c>
      <c r="S87" s="24" t="s">
        <v>272</v>
      </c>
      <c r="AB87" s="5"/>
      <c r="AI87" s="50"/>
      <c r="AJ87" s="50"/>
      <c r="AK87" s="50"/>
      <c r="AL87" s="50"/>
      <c r="AM87" s="50"/>
      <c r="AN87" s="50"/>
      <c r="AO87" s="50"/>
      <c r="AP87" s="285"/>
      <c r="AQ87" s="269" t="str">
        <f>BF18</f>
        <v>Eνεργή οθόνη 1</v>
      </c>
      <c r="AR87" s="285"/>
      <c r="AS87" s="285"/>
      <c r="AT87" s="50"/>
      <c r="AU87" s="50"/>
      <c r="AV87" s="50"/>
      <c r="AW87" s="50"/>
      <c r="AX87" s="50"/>
      <c r="AY87" s="50"/>
      <c r="AZ87" s="50"/>
      <c r="BA87" s="50"/>
      <c r="BB87" s="50"/>
      <c r="BC87" s="3"/>
      <c r="BD87" s="97"/>
      <c r="BE87" s="38" t="s">
        <v>4011</v>
      </c>
      <c r="BF87" s="65">
        <f>BF63</f>
        <v>2000</v>
      </c>
      <c r="BG87" s="127"/>
      <c r="BN87" s="97"/>
      <c r="BO87" s="166"/>
      <c r="BR87" s="235"/>
      <c r="CJ87" s="123"/>
      <c r="CK87" s="38" t="s">
        <v>3023</v>
      </c>
      <c r="CL87" s="65" t="str">
        <f>CL83</f>
        <v/>
      </c>
      <c r="CM87" s="127"/>
      <c r="CN87" s="38" t="s">
        <v>3023</v>
      </c>
      <c r="CO87" s="65" t="str">
        <f>CO83</f>
        <v/>
      </c>
      <c r="CP87" s="127"/>
      <c r="CQ87" s="6"/>
      <c r="CR87" s="138"/>
      <c r="CS87" s="38" t="s">
        <v>3064</v>
      </c>
      <c r="CT87" s="127">
        <f>CT83</f>
        <v>0</v>
      </c>
      <c r="CW87" s="170"/>
      <c r="CY87" s="1" t="s">
        <v>3156</v>
      </c>
      <c r="CZ87" s="144" t="str">
        <f>IF(CZ84=0,CZ69,"")</f>
        <v/>
      </c>
      <c r="DC87" s="182"/>
      <c r="DD87" s="409" t="s">
        <v>11</v>
      </c>
      <c r="DE87" s="128" t="s">
        <v>3012</v>
      </c>
      <c r="DF87" s="128">
        <f>DF86*-1</f>
        <v>0</v>
      </c>
      <c r="DG87" s="1" t="s">
        <v>2988</v>
      </c>
      <c r="DH87" s="1">
        <f>-1*DH86</f>
        <v>0</v>
      </c>
      <c r="DK87" s="182"/>
      <c r="DM87" s="2"/>
      <c r="DN87" s="37" t="s">
        <v>3360</v>
      </c>
      <c r="DO87" s="37" t="s">
        <v>3360</v>
      </c>
      <c r="DP87" s="37" t="s">
        <v>674</v>
      </c>
      <c r="DQ87" s="37" t="s">
        <v>3576</v>
      </c>
      <c r="DR87" s="37" t="s">
        <v>675</v>
      </c>
      <c r="DS87" s="22"/>
      <c r="DT87" s="6"/>
      <c r="DZ87" s="48"/>
      <c r="ED87" s="3"/>
      <c r="EE87" s="3"/>
      <c r="EF87" s="3"/>
      <c r="EG87" s="3"/>
      <c r="EH87" s="4" t="s">
        <v>4079</v>
      </c>
      <c r="EI87" s="4"/>
      <c r="EJ87" s="578" t="str">
        <f>AQ102</f>
        <v/>
      </c>
      <c r="EK87" s="448" t="s">
        <v>4095</v>
      </c>
      <c r="EL87" s="344"/>
      <c r="EM87" s="449" t="str">
        <f>AS102</f>
        <v/>
      </c>
      <c r="EN87" s="48" t="s">
        <v>4084</v>
      </c>
      <c r="EO87" s="578" t="str">
        <f>AU102</f>
        <v/>
      </c>
      <c r="EP87" s="3"/>
      <c r="EQ87" s="3"/>
      <c r="ER87" s="3"/>
      <c r="FK87" s="135"/>
      <c r="FY87" s="2"/>
      <c r="FZ87" s="37" t="s">
        <v>3357</v>
      </c>
      <c r="GA87" s="37" t="s">
        <v>3357</v>
      </c>
      <c r="GB87" s="37" t="s">
        <v>669</v>
      </c>
      <c r="GC87" s="37" t="s">
        <v>3879</v>
      </c>
      <c r="GD87" s="37" t="s">
        <v>672</v>
      </c>
      <c r="GF87" s="22"/>
      <c r="GL87" s="48"/>
      <c r="GV87" s="128"/>
      <c r="GW87" s="4"/>
      <c r="GX87" s="37" t="s">
        <v>2236</v>
      </c>
      <c r="GY87" s="37" t="s">
        <v>2236</v>
      </c>
      <c r="GZ87" s="37" t="s">
        <v>2237</v>
      </c>
      <c r="HA87" s="37" t="s">
        <v>2236</v>
      </c>
      <c r="HB87" s="37" t="s">
        <v>2234</v>
      </c>
      <c r="HC87" s="37"/>
      <c r="HJ87" s="48"/>
      <c r="HK87" s="170"/>
      <c r="HM87" s="1" t="s">
        <v>3876</v>
      </c>
      <c r="HN87" s="1">
        <f>IF(HN19=HM87,11,0)</f>
        <v>0</v>
      </c>
      <c r="IB87" s="170"/>
      <c r="IC87" s="405"/>
      <c r="ID87" s="527" t="s">
        <v>3880</v>
      </c>
      <c r="IE87" s="528" t="s">
        <v>3880</v>
      </c>
      <c r="IF87" s="37"/>
      <c r="IG87" s="37" t="s">
        <v>3881</v>
      </c>
      <c r="IH87" s="37">
        <v>0</v>
      </c>
      <c r="II87" s="1"/>
      <c r="IJ87" s="1"/>
      <c r="IK87" s="1"/>
      <c r="IL87" s="1"/>
      <c r="IM87" s="405"/>
      <c r="IN87" s="178"/>
      <c r="IO87" s="1"/>
      <c r="IP87" s="1" t="s">
        <v>3771</v>
      </c>
      <c r="IQ87" s="205">
        <f>IF(IQ86&lt;10,0,2)</f>
        <v>0</v>
      </c>
      <c r="IR87" s="1"/>
      <c r="IS87" s="1"/>
      <c r="IT87" s="65">
        <v>2</v>
      </c>
      <c r="IU87" s="141"/>
      <c r="IV87" s="65" t="str">
        <f>""</f>
        <v/>
      </c>
      <c r="IW87" s="65">
        <v>0</v>
      </c>
      <c r="IX87" s="65">
        <v>0</v>
      </c>
      <c r="IY87" s="65">
        <v>0</v>
      </c>
      <c r="IZ87" s="65">
        <v>0</v>
      </c>
      <c r="JA87" s="1"/>
      <c r="JB87" s="1"/>
      <c r="JC87" s="178"/>
      <c r="JD87" s="135"/>
    </row>
    <row r="88" spans="9:264" ht="15.75">
      <c r="I88" s="22"/>
      <c r="J88" s="156" t="s">
        <v>274</v>
      </c>
      <c r="K88" s="156" t="s">
        <v>274</v>
      </c>
      <c r="L88" s="22">
        <v>19</v>
      </c>
      <c r="M88" s="22">
        <v>40</v>
      </c>
      <c r="N88" s="22">
        <v>5.8</v>
      </c>
      <c r="O88" s="22">
        <v>18</v>
      </c>
      <c r="P88" s="22">
        <v>0</v>
      </c>
      <c r="Q88" s="22">
        <v>50</v>
      </c>
      <c r="R88" s="22" t="s">
        <v>275</v>
      </c>
      <c r="S88" s="22" t="s">
        <v>276</v>
      </c>
      <c r="AB88" s="5"/>
      <c r="AI88" s="50"/>
      <c r="AJ88" s="50"/>
      <c r="AK88" s="50"/>
      <c r="AL88" s="50"/>
      <c r="AM88" s="50"/>
      <c r="AN88" s="50"/>
      <c r="AO88" s="50"/>
      <c r="AP88" s="50"/>
      <c r="AQ88" s="50"/>
      <c r="AR88" s="50"/>
      <c r="AS88" s="50"/>
      <c r="AT88" s="50"/>
      <c r="AU88" s="50"/>
      <c r="AV88" s="50"/>
      <c r="AW88" s="50"/>
      <c r="AX88" s="50"/>
      <c r="AY88" s="50"/>
      <c r="AZ88" s="50"/>
      <c r="BA88" s="50"/>
      <c r="BB88" s="50"/>
      <c r="BC88" s="3"/>
      <c r="BD88" s="97"/>
      <c r="BE88" s="38" t="s">
        <v>4004</v>
      </c>
      <c r="BF88" s="128"/>
      <c r="BG88" s="127"/>
      <c r="BN88" s="97"/>
      <c r="BO88" s="166"/>
      <c r="BQ88" s="1" t="s">
        <v>3112</v>
      </c>
      <c r="BR88" s="259">
        <f>CB84</f>
        <v>0</v>
      </c>
      <c r="BS88" s="109" t="str">
        <f>LOOKUP(BR88,(BR73:BR82),(BS73:BS82))</f>
        <v/>
      </c>
      <c r="BT88" s="109" t="str">
        <f>LOOKUP(BR88,(BR73:BR82),(BT73:BT82))</f>
        <v/>
      </c>
      <c r="CJ88" s="123"/>
      <c r="CK88" s="38" t="s">
        <v>2818</v>
      </c>
      <c r="CL88" s="128" t="b">
        <f>ISNUMBER(CL87)</f>
        <v>0</v>
      </c>
      <c r="CM88" s="127" t="b">
        <v>0</v>
      </c>
      <c r="CN88" s="38" t="s">
        <v>2818</v>
      </c>
      <c r="CO88" s="128" t="b">
        <f>ISNUMBER(CO87)</f>
        <v>0</v>
      </c>
      <c r="CP88" s="127" t="b">
        <v>0</v>
      </c>
      <c r="CQ88" s="6"/>
      <c r="CR88" s="138"/>
      <c r="CS88" s="38"/>
      <c r="CT88" s="127"/>
      <c r="CW88" s="170"/>
      <c r="CY88" s="1" t="s">
        <v>3155</v>
      </c>
      <c r="CZ88" s="144" t="str">
        <f>IF(CZ84=0,CZ70,"")</f>
        <v/>
      </c>
      <c r="DC88" s="182"/>
      <c r="DD88" s="410">
        <f>DJ83</f>
        <v>0</v>
      </c>
      <c r="DE88" s="128" t="s">
        <v>2995</v>
      </c>
      <c r="DF88" s="6">
        <f>IF(DF87=0,DF84,DF87)</f>
        <v>0</v>
      </c>
      <c r="DG88" s="1" t="s">
        <v>2996</v>
      </c>
      <c r="DH88" s="406">
        <f>IF(DF85=1,DH87,DH78)</f>
        <v>0</v>
      </c>
      <c r="DK88" s="182"/>
      <c r="DM88" s="2"/>
      <c r="DN88" s="37" t="s">
        <v>724</v>
      </c>
      <c r="DO88" s="37" t="s">
        <v>724</v>
      </c>
      <c r="DP88" s="37" t="s">
        <v>674</v>
      </c>
      <c r="DQ88" s="37" t="s">
        <v>3576</v>
      </c>
      <c r="DR88" s="37" t="s">
        <v>675</v>
      </c>
      <c r="DS88" s="22"/>
      <c r="DT88" s="6"/>
      <c r="DZ88" s="48"/>
      <c r="ED88" s="3"/>
      <c r="EE88" s="3"/>
      <c r="EF88" s="3"/>
      <c r="EG88" s="3"/>
      <c r="EH88" s="4" t="s">
        <v>4080</v>
      </c>
      <c r="EI88" s="4"/>
      <c r="EJ88" s="578" t="str">
        <f ca="1">AQ103</f>
        <v/>
      </c>
      <c r="EK88" s="507" t="str">
        <f>AR103</f>
        <v/>
      </c>
      <c r="EL88" s="4"/>
      <c r="EM88" s="116"/>
      <c r="EN88" s="48" t="s">
        <v>4076</v>
      </c>
      <c r="EO88" s="578" t="str">
        <f>AU103</f>
        <v/>
      </c>
      <c r="EP88" s="3"/>
      <c r="EQ88" s="3"/>
      <c r="ER88" s="3"/>
      <c r="FK88" s="135"/>
      <c r="FY88" s="2"/>
      <c r="FZ88" s="37" t="s">
        <v>669</v>
      </c>
      <c r="GA88" s="37" t="s">
        <v>669</v>
      </c>
      <c r="GB88" s="37" t="s">
        <v>669</v>
      </c>
      <c r="GC88" s="37" t="s">
        <v>3879</v>
      </c>
      <c r="GD88" s="37" t="s">
        <v>672</v>
      </c>
      <c r="GF88" s="22"/>
      <c r="GL88" s="48"/>
      <c r="GV88" s="128"/>
      <c r="GW88" s="4"/>
      <c r="GX88" s="37" t="s">
        <v>103</v>
      </c>
      <c r="GY88" s="37" t="s">
        <v>103</v>
      </c>
      <c r="GZ88" s="37" t="s">
        <v>104</v>
      </c>
      <c r="HA88" s="37" t="s">
        <v>103</v>
      </c>
      <c r="HB88" s="37" t="s">
        <v>101</v>
      </c>
      <c r="HC88" s="37"/>
      <c r="HJ88" s="48"/>
      <c r="HK88" s="170"/>
      <c r="HM88" s="1" t="s">
        <v>3688</v>
      </c>
      <c r="HN88" s="170">
        <f>HN85+HN86+HN87</f>
        <v>0</v>
      </c>
      <c r="IB88" s="170"/>
      <c r="IC88" s="405"/>
      <c r="ID88" s="527" t="s">
        <v>3883</v>
      </c>
      <c r="IE88" s="528" t="s">
        <v>3883</v>
      </c>
      <c r="IF88" s="37"/>
      <c r="IG88" s="37" t="s">
        <v>3884</v>
      </c>
      <c r="IH88" s="37">
        <v>3</v>
      </c>
      <c r="II88" s="1"/>
      <c r="IJ88" s="1"/>
      <c r="IK88" s="1"/>
      <c r="IL88" s="1"/>
      <c r="IM88" s="405"/>
      <c r="IN88" s="178"/>
      <c r="IO88" s="1"/>
      <c r="IP88" s="1" t="s">
        <v>3816</v>
      </c>
      <c r="IQ88" s="1">
        <f>IF(IR83&lt;1000,IR83,0)</f>
        <v>0</v>
      </c>
      <c r="IR88" s="1"/>
      <c r="IS88" s="1"/>
      <c r="IT88" s="65">
        <v>3</v>
      </c>
      <c r="IU88" s="141"/>
      <c r="IV88" s="65" t="str">
        <f>""</f>
        <v/>
      </c>
      <c r="IW88" s="65" t="str">
        <f>""</f>
        <v/>
      </c>
      <c r="IX88" s="65">
        <v>0</v>
      </c>
      <c r="IY88" s="65">
        <v>0</v>
      </c>
      <c r="IZ88" s="65">
        <v>0</v>
      </c>
      <c r="JA88" s="1"/>
      <c r="JB88" s="1"/>
      <c r="JC88" s="178"/>
      <c r="JD88" s="135"/>
    </row>
    <row r="89" spans="9:264" ht="18.75">
      <c r="I89" s="22"/>
      <c r="J89" s="156" t="s">
        <v>277</v>
      </c>
      <c r="K89" s="156" t="s">
        <v>277</v>
      </c>
      <c r="L89" s="22">
        <v>19</v>
      </c>
      <c r="M89" s="22">
        <v>41</v>
      </c>
      <c r="N89" s="22">
        <v>2.9</v>
      </c>
      <c r="O89" s="22">
        <v>17</v>
      </c>
      <c r="P89" s="22">
        <v>28</v>
      </c>
      <c r="Q89" s="22">
        <v>34</v>
      </c>
      <c r="R89" s="22" t="s">
        <v>278</v>
      </c>
      <c r="S89" s="22" t="s">
        <v>279</v>
      </c>
      <c r="AB89" s="5"/>
      <c r="AI89" s="50"/>
      <c r="AJ89" s="50"/>
      <c r="AK89" s="50"/>
      <c r="AL89" s="50"/>
      <c r="AM89" s="50"/>
      <c r="AN89" s="50"/>
      <c r="AO89" s="50"/>
      <c r="AP89" s="50"/>
      <c r="AQ89" s="50"/>
      <c r="AR89" s="50"/>
      <c r="AS89" s="50"/>
      <c r="AT89" s="50"/>
      <c r="AU89" s="50"/>
      <c r="AV89" s="50"/>
      <c r="AW89" s="50"/>
      <c r="AX89" s="50"/>
      <c r="AY89" s="50"/>
      <c r="AZ89" s="50"/>
      <c r="BA89" s="50"/>
      <c r="BB89" s="50"/>
      <c r="BC89" s="3"/>
      <c r="BD89" s="97"/>
      <c r="BE89" s="38" t="s">
        <v>4011</v>
      </c>
      <c r="BF89" s="65">
        <f>EV65</f>
        <v>2000</v>
      </c>
      <c r="BG89" s="127"/>
      <c r="BN89" s="97"/>
      <c r="BO89" s="166"/>
      <c r="BR89" s="235"/>
      <c r="CJ89" s="123"/>
      <c r="CK89" s="38" t="s">
        <v>2855</v>
      </c>
      <c r="CL89" s="129">
        <f>IF(CL88=CM88,0,CL87)</f>
        <v>0</v>
      </c>
      <c r="CM89" s="127"/>
      <c r="CN89" s="38" t="s">
        <v>2855</v>
      </c>
      <c r="CO89" s="129">
        <f>IF(CO88=CP88,0,CO87)</f>
        <v>0</v>
      </c>
      <c r="CP89" s="127"/>
      <c r="CQ89" s="6"/>
      <c r="CR89" s="138"/>
      <c r="CS89" s="133" t="s">
        <v>3065</v>
      </c>
      <c r="CT89" s="127"/>
      <c r="CW89" s="170"/>
      <c r="CY89" s="1" t="s">
        <v>3157</v>
      </c>
      <c r="CZ89" s="144" t="str">
        <f>IF(CZ84=0,CZ71,"")</f>
        <v/>
      </c>
      <c r="DC89" s="182"/>
      <c r="DD89" s="409" t="s">
        <v>2858</v>
      </c>
      <c r="DE89" s="145" t="s">
        <v>3013</v>
      </c>
      <c r="DF89" s="6">
        <f>DF88</f>
        <v>0</v>
      </c>
      <c r="DH89" s="175"/>
      <c r="DK89" s="182"/>
      <c r="DM89" s="2"/>
      <c r="DN89" s="37" t="s">
        <v>3361</v>
      </c>
      <c r="DO89" s="37" t="s">
        <v>3361</v>
      </c>
      <c r="DP89" s="37" t="s">
        <v>3219</v>
      </c>
      <c r="DQ89" s="37" t="s">
        <v>3362</v>
      </c>
      <c r="DR89" s="37" t="s">
        <v>744</v>
      </c>
      <c r="DS89" s="22"/>
      <c r="DT89" s="6"/>
      <c r="DZ89" s="48"/>
      <c r="ED89" s="3"/>
      <c r="EE89" s="3"/>
      <c r="EF89" s="3"/>
      <c r="EG89" s="3"/>
      <c r="EH89" s="4" t="s">
        <v>4081</v>
      </c>
      <c r="EI89" s="4"/>
      <c r="EJ89" s="579" t="str">
        <f>AQ104</f>
        <v/>
      </c>
      <c r="EK89" s="508" t="s">
        <v>4096</v>
      </c>
      <c r="EL89" s="459"/>
      <c r="EM89" s="509" t="str">
        <f>AS104</f>
        <v/>
      </c>
      <c r="EN89" s="48" t="s">
        <v>4077</v>
      </c>
      <c r="EO89" s="581" t="str">
        <f>AU104</f>
        <v/>
      </c>
      <c r="EP89" s="3"/>
      <c r="EQ89" s="3"/>
      <c r="ER89" s="3"/>
      <c r="FK89" s="135"/>
      <c r="FY89" s="2"/>
      <c r="FZ89" s="37" t="s">
        <v>3359</v>
      </c>
      <c r="GA89" s="37" t="s">
        <v>3359</v>
      </c>
      <c r="GB89" s="37" t="s">
        <v>674</v>
      </c>
      <c r="GC89" s="37" t="s">
        <v>3886</v>
      </c>
      <c r="GD89" s="37" t="s">
        <v>677</v>
      </c>
      <c r="GF89" s="22"/>
      <c r="GL89" s="48"/>
      <c r="GV89" s="128"/>
      <c r="GW89" s="4"/>
      <c r="GX89" s="37" t="s">
        <v>3874</v>
      </c>
      <c r="GY89" s="37" t="s">
        <v>3874</v>
      </c>
      <c r="GZ89" s="37"/>
      <c r="HA89" s="37"/>
      <c r="HB89" s="37"/>
      <c r="HC89" s="37"/>
      <c r="HJ89" s="48"/>
      <c r="HK89" s="170"/>
      <c r="HM89" s="191">
        <v>12</v>
      </c>
      <c r="IB89" s="170"/>
      <c r="IC89" s="405"/>
      <c r="ID89" s="557"/>
      <c r="IE89" s="558"/>
      <c r="IF89" s="107"/>
      <c r="IG89" s="107"/>
      <c r="IH89" s="107"/>
      <c r="II89" s="1"/>
      <c r="IJ89" s="1"/>
      <c r="IK89" s="1"/>
      <c r="IL89" s="1"/>
      <c r="IM89" s="405"/>
      <c r="IN89" s="178"/>
      <c r="IO89" s="1"/>
      <c r="IP89" s="1" t="s">
        <v>3775</v>
      </c>
      <c r="IQ89" s="205">
        <f>IF(IQ88&lt;100,0,3)</f>
        <v>0</v>
      </c>
      <c r="IR89" s="1"/>
      <c r="IS89" s="1"/>
      <c r="IT89" s="65">
        <v>4</v>
      </c>
      <c r="IU89" s="141"/>
      <c r="IV89" s="65" t="str">
        <f>""</f>
        <v/>
      </c>
      <c r="IW89" s="65" t="str">
        <f>""</f>
        <v/>
      </c>
      <c r="IX89" s="65" t="str">
        <f>""</f>
        <v/>
      </c>
      <c r="IY89" s="65">
        <v>0</v>
      </c>
      <c r="IZ89" s="65">
        <v>0</v>
      </c>
      <c r="JA89" s="1"/>
      <c r="JB89" s="1"/>
      <c r="JC89" s="178"/>
      <c r="JD89" s="135"/>
    </row>
    <row r="90" spans="9:264">
      <c r="I90" s="22"/>
      <c r="J90" s="156" t="s">
        <v>280</v>
      </c>
      <c r="K90" s="156" t="s">
        <v>280</v>
      </c>
      <c r="L90" s="22">
        <v>19</v>
      </c>
      <c r="M90" s="22">
        <v>58</v>
      </c>
      <c r="N90" s="22">
        <v>45.4</v>
      </c>
      <c r="O90" s="22">
        <v>19</v>
      </c>
      <c r="P90" s="22">
        <v>29</v>
      </c>
      <c r="Q90" s="22">
        <v>32</v>
      </c>
      <c r="R90" s="22" t="s">
        <v>281</v>
      </c>
      <c r="S90" s="22" t="s">
        <v>282</v>
      </c>
      <c r="AB90" s="5"/>
      <c r="AI90" s="50"/>
      <c r="AJ90" s="50"/>
      <c r="AK90" s="50"/>
      <c r="AL90" s="50"/>
      <c r="AM90" s="50"/>
      <c r="AN90" s="51"/>
      <c r="AO90" s="51"/>
      <c r="AP90" s="51"/>
      <c r="AQ90" s="51"/>
      <c r="AR90" s="51"/>
      <c r="AS90" s="51"/>
      <c r="AT90" s="51"/>
      <c r="AU90" s="51"/>
      <c r="AV90" s="51"/>
      <c r="AW90" s="50"/>
      <c r="AX90" s="50"/>
      <c r="AY90" s="50"/>
      <c r="AZ90" s="50"/>
      <c r="BA90" s="50"/>
      <c r="BB90" s="50"/>
      <c r="BC90" s="337"/>
      <c r="BD90" s="97"/>
      <c r="BE90" s="95" t="s">
        <v>4012</v>
      </c>
      <c r="BF90" s="118">
        <f>IF(BF85=1,BF87,BF89)</f>
        <v>2000</v>
      </c>
      <c r="BG90" s="80"/>
      <c r="BN90" s="97"/>
      <c r="BO90" s="166"/>
      <c r="BR90" s="235"/>
      <c r="CJ90" s="123"/>
      <c r="CK90" s="130" t="s">
        <v>3025</v>
      </c>
      <c r="CL90" s="131">
        <f>IF(CL88=CM88,1,0)</f>
        <v>1</v>
      </c>
      <c r="CM90" s="127"/>
      <c r="CN90" s="130" t="s">
        <v>3025</v>
      </c>
      <c r="CO90" s="131">
        <f>IF(CO88=CP88,1,0)</f>
        <v>1</v>
      </c>
      <c r="CP90" s="127"/>
      <c r="CQ90" s="6"/>
      <c r="CR90" s="138"/>
      <c r="CS90" s="38" t="s">
        <v>3066</v>
      </c>
      <c r="CT90" s="127">
        <f>CT85-2000</f>
        <v>0</v>
      </c>
      <c r="CW90" s="170"/>
      <c r="CY90" s="108" t="s">
        <v>3152</v>
      </c>
      <c r="DC90" s="182"/>
      <c r="DD90" s="410">
        <f>DJ86</f>
        <v>0</v>
      </c>
      <c r="DE90" s="1" t="s">
        <v>3014</v>
      </c>
      <c r="DF90" s="190">
        <f>IF(DF89&gt;100,0,DF89)</f>
        <v>0</v>
      </c>
      <c r="DK90" s="182"/>
      <c r="DM90" s="2"/>
      <c r="DN90" s="37" t="s">
        <v>3218</v>
      </c>
      <c r="DO90" s="37" t="s">
        <v>3218</v>
      </c>
      <c r="DP90" s="37" t="s">
        <v>3219</v>
      </c>
      <c r="DQ90" s="37" t="s">
        <v>3362</v>
      </c>
      <c r="DR90" s="37" t="s">
        <v>744</v>
      </c>
      <c r="DS90" s="22"/>
      <c r="DT90" s="6"/>
      <c r="DZ90" s="48"/>
      <c r="ED90" s="3"/>
      <c r="EE90" s="3"/>
      <c r="EF90" s="3"/>
      <c r="EG90" s="3"/>
      <c r="EH90" s="4" t="s">
        <v>4082</v>
      </c>
      <c r="EI90" s="4"/>
      <c r="EJ90" s="580" t="str">
        <f>AQ105</f>
        <v/>
      </c>
      <c r="EK90" s="48"/>
      <c r="EL90" s="48"/>
      <c r="EM90" s="48"/>
      <c r="EN90" s="48" t="s">
        <v>2790</v>
      </c>
      <c r="EO90" s="580" t="str">
        <f>AU105</f>
        <v/>
      </c>
      <c r="EP90" s="3"/>
      <c r="EQ90" s="3"/>
      <c r="ER90" s="3"/>
      <c r="FK90" s="135"/>
      <c r="FY90" s="2"/>
      <c r="FZ90" s="37" t="s">
        <v>674</v>
      </c>
      <c r="GA90" s="37" t="s">
        <v>674</v>
      </c>
      <c r="GB90" s="37" t="s">
        <v>674</v>
      </c>
      <c r="GC90" s="37" t="s">
        <v>3888</v>
      </c>
      <c r="GD90" s="37" t="s">
        <v>677</v>
      </c>
      <c r="GF90" s="22"/>
      <c r="GL90" s="48"/>
      <c r="GV90" s="128"/>
      <c r="GW90" s="4"/>
      <c r="GX90" s="37" t="s">
        <v>3877</v>
      </c>
      <c r="GY90" s="37" t="s">
        <v>3877</v>
      </c>
      <c r="GZ90" s="37"/>
      <c r="HA90" s="37"/>
      <c r="HB90" s="37"/>
      <c r="HC90" s="37" t="s">
        <v>3510</v>
      </c>
      <c r="HJ90" s="48"/>
      <c r="HK90" s="170"/>
      <c r="HM90" s="1" t="s">
        <v>3887</v>
      </c>
      <c r="IB90" s="170"/>
      <c r="IC90" s="405"/>
      <c r="ID90" s="405"/>
      <c r="IE90" s="405"/>
      <c r="IF90" s="405"/>
      <c r="IG90" s="405"/>
      <c r="IH90" s="405"/>
      <c r="II90" s="405"/>
      <c r="IJ90" s="405"/>
      <c r="IK90" s="405"/>
      <c r="IL90" s="405"/>
      <c r="IM90" s="405"/>
      <c r="IN90" s="178"/>
      <c r="IO90" s="1"/>
      <c r="IP90" s="1" t="s">
        <v>3869</v>
      </c>
      <c r="IQ90" s="1">
        <f>IF(IR83&lt;10000,IR83,0)</f>
        <v>0</v>
      </c>
      <c r="IR90" s="1"/>
      <c r="IS90" s="1"/>
      <c r="IT90" s="65">
        <v>5</v>
      </c>
      <c r="IU90" s="141"/>
      <c r="IV90" s="65" t="str">
        <f>""</f>
        <v/>
      </c>
      <c r="IW90" s="65" t="str">
        <f>""</f>
        <v/>
      </c>
      <c r="IX90" s="65" t="str">
        <f>""</f>
        <v/>
      </c>
      <c r="IY90" s="65" t="str">
        <f>""</f>
        <v/>
      </c>
      <c r="IZ90" s="65">
        <v>0</v>
      </c>
      <c r="JA90" s="1"/>
      <c r="JB90" s="1"/>
      <c r="JC90" s="178"/>
      <c r="JD90" s="135"/>
    </row>
    <row r="91" spans="9:264">
      <c r="I91" s="22"/>
      <c r="J91" s="156" t="s">
        <v>283</v>
      </c>
      <c r="K91" s="156" t="s">
        <v>283</v>
      </c>
      <c r="L91" s="22">
        <v>19</v>
      </c>
      <c r="M91" s="22">
        <v>47</v>
      </c>
      <c r="N91" s="22">
        <v>23.3</v>
      </c>
      <c r="O91" s="22">
        <v>18</v>
      </c>
      <c r="P91" s="22">
        <v>32</v>
      </c>
      <c r="Q91" s="22">
        <v>3</v>
      </c>
      <c r="R91" s="22" t="s">
        <v>284</v>
      </c>
      <c r="S91" s="22" t="s">
        <v>285</v>
      </c>
      <c r="AB91" s="5"/>
      <c r="AI91" s="50"/>
      <c r="AJ91" s="50"/>
      <c r="AK91" s="50"/>
      <c r="AL91" s="50"/>
      <c r="AM91" s="50"/>
      <c r="AN91" s="50"/>
      <c r="AO91" s="50"/>
      <c r="AP91" s="50"/>
      <c r="AQ91" s="50"/>
      <c r="AR91" s="50"/>
      <c r="AS91" s="50"/>
      <c r="AT91" s="50"/>
      <c r="AU91" s="50"/>
      <c r="AV91" s="50"/>
      <c r="AW91" s="50"/>
      <c r="AX91" s="50"/>
      <c r="AY91" s="50"/>
      <c r="AZ91" s="50"/>
      <c r="BA91" s="50"/>
      <c r="BB91" s="50"/>
      <c r="BC91" s="337"/>
      <c r="BD91" s="97"/>
      <c r="BN91" s="97"/>
      <c r="BO91" s="166"/>
      <c r="BP91" s="260"/>
      <c r="BQ91" s="260" t="s">
        <v>3106</v>
      </c>
      <c r="BR91" s="260"/>
      <c r="BS91" s="242" t="s">
        <v>2823</v>
      </c>
      <c r="BT91" s="260"/>
      <c r="BU91" s="260"/>
      <c r="BV91" s="260"/>
      <c r="BW91" s="260"/>
      <c r="BX91" s="260" t="s">
        <v>3123</v>
      </c>
      <c r="BY91" s="260"/>
      <c r="BZ91" s="260"/>
      <c r="CA91" s="260" t="s">
        <v>3125</v>
      </c>
      <c r="CB91" s="260"/>
      <c r="CC91" s="260"/>
      <c r="CD91" s="260"/>
      <c r="CE91" s="260"/>
      <c r="CF91" s="260"/>
      <c r="CG91" s="260"/>
      <c r="CH91" s="260"/>
      <c r="CI91" s="260"/>
      <c r="CJ91" s="123"/>
      <c r="CK91" s="130"/>
      <c r="CL91" s="131"/>
      <c r="CM91" s="127"/>
      <c r="CN91" s="130"/>
      <c r="CO91" s="131"/>
      <c r="CP91" s="127"/>
      <c r="CQ91" s="6"/>
      <c r="CR91" s="138"/>
      <c r="CS91" s="38" t="s">
        <v>3067</v>
      </c>
      <c r="CT91" s="141">
        <f>CT90/25796*24</f>
        <v>0</v>
      </c>
      <c r="CW91" s="170"/>
      <c r="CY91" s="108" t="s">
        <v>3153</v>
      </c>
      <c r="DC91" s="182"/>
      <c r="DD91" s="182"/>
      <c r="DE91" s="182"/>
      <c r="DF91" s="182"/>
      <c r="DG91" s="182"/>
      <c r="DH91" s="182"/>
      <c r="DI91" s="182"/>
      <c r="DJ91" s="182"/>
      <c r="DK91" s="182"/>
      <c r="DM91" s="2"/>
      <c r="DN91" s="37" t="s">
        <v>3363</v>
      </c>
      <c r="DO91" s="37" t="s">
        <v>3363</v>
      </c>
      <c r="DP91" s="37" t="s">
        <v>3219</v>
      </c>
      <c r="DQ91" s="37" t="s">
        <v>3362</v>
      </c>
      <c r="DR91" s="37" t="s">
        <v>744</v>
      </c>
      <c r="DS91" s="22"/>
      <c r="DT91" s="6"/>
      <c r="DZ91" s="48"/>
      <c r="ED91" s="3"/>
      <c r="EE91" s="3"/>
      <c r="EF91" s="3"/>
      <c r="EG91" s="3"/>
      <c r="EH91" s="456" t="s">
        <v>3526</v>
      </c>
      <c r="EI91" s="456"/>
      <c r="EJ91" s="48"/>
      <c r="EK91" s="48"/>
      <c r="EL91" s="48"/>
      <c r="EM91" s="48"/>
      <c r="EN91" s="48"/>
      <c r="EO91" s="48"/>
      <c r="EP91" s="3"/>
      <c r="EQ91" s="3"/>
      <c r="ER91" s="3"/>
      <c r="FK91" s="135"/>
      <c r="FY91" s="2"/>
      <c r="FZ91" s="37" t="s">
        <v>3360</v>
      </c>
      <c r="GA91" s="37" t="s">
        <v>3360</v>
      </c>
      <c r="GB91" s="37" t="s">
        <v>674</v>
      </c>
      <c r="GC91" s="37" t="s">
        <v>3888</v>
      </c>
      <c r="GD91" s="37" t="s">
        <v>677</v>
      </c>
      <c r="GF91" s="22"/>
      <c r="GL91" s="48"/>
      <c r="GV91" s="128"/>
      <c r="GW91" s="4"/>
      <c r="GX91" s="37" t="s">
        <v>3880</v>
      </c>
      <c r="GY91" s="37" t="s">
        <v>3880</v>
      </c>
      <c r="GZ91" s="37"/>
      <c r="HA91" s="37"/>
      <c r="HB91" s="37"/>
      <c r="HC91" s="37" t="s">
        <v>3512</v>
      </c>
      <c r="HJ91" s="48"/>
      <c r="HK91" s="170"/>
      <c r="HM91" s="1" t="s">
        <v>3705</v>
      </c>
      <c r="HN91" s="1">
        <f>IF(HN19=HM91,12,0)</f>
        <v>0</v>
      </c>
      <c r="IB91" s="170"/>
      <c r="IG91" s="1"/>
      <c r="IH91" s="1"/>
      <c r="II91" s="1"/>
      <c r="IJ91" s="1"/>
      <c r="IK91" s="1"/>
      <c r="IL91" s="1"/>
      <c r="IM91" s="1"/>
      <c r="IN91" s="178"/>
      <c r="IO91" s="1"/>
      <c r="IP91" s="1" t="s">
        <v>3872</v>
      </c>
      <c r="IQ91" s="205">
        <f>IF(IQ90&lt;1000,0,4)</f>
        <v>0</v>
      </c>
      <c r="IR91" s="1"/>
      <c r="IS91" s="1"/>
      <c r="IT91" s="65">
        <v>6</v>
      </c>
      <c r="IU91" s="141"/>
      <c r="IV91" s="65" t="str">
        <f>""</f>
        <v/>
      </c>
      <c r="IW91" s="65" t="str">
        <f>""</f>
        <v/>
      </c>
      <c r="IX91" s="65" t="str">
        <f>""</f>
        <v/>
      </c>
      <c r="IY91" s="65" t="str">
        <f>""</f>
        <v/>
      </c>
      <c r="IZ91" s="65" t="str">
        <f>""</f>
        <v/>
      </c>
      <c r="JA91" s="190">
        <f>IR83</f>
        <v>0</v>
      </c>
      <c r="JB91" s="1"/>
      <c r="JC91" s="178"/>
      <c r="JD91" s="135"/>
    </row>
    <row r="92" spans="9:264">
      <c r="I92" s="24" t="s">
        <v>286</v>
      </c>
      <c r="J92" s="157" t="s">
        <v>287</v>
      </c>
      <c r="K92" s="157" t="s">
        <v>287</v>
      </c>
      <c r="L92" s="24" t="s">
        <v>39</v>
      </c>
      <c r="M92" s="24" t="s">
        <v>286</v>
      </c>
      <c r="N92" s="24" t="s">
        <v>286</v>
      </c>
      <c r="O92" s="24" t="s">
        <v>40</v>
      </c>
      <c r="P92" s="24" t="s">
        <v>288</v>
      </c>
      <c r="Q92" s="24" t="s">
        <v>289</v>
      </c>
      <c r="R92" s="24" t="s">
        <v>290</v>
      </c>
      <c r="S92" s="24" t="s">
        <v>289</v>
      </c>
      <c r="AB92" s="5"/>
      <c r="AI92" s="50"/>
      <c r="AJ92" s="50"/>
      <c r="AK92" s="50"/>
      <c r="AL92" s="50"/>
      <c r="AM92" s="50"/>
      <c r="AN92" s="50"/>
      <c r="AO92" s="50"/>
      <c r="AP92" s="50"/>
      <c r="AQ92" s="50"/>
      <c r="AR92" s="50"/>
      <c r="AS92" s="50"/>
      <c r="AT92" s="50"/>
      <c r="AU92" s="50"/>
      <c r="AV92" s="50"/>
      <c r="AW92" s="50"/>
      <c r="AX92" s="50"/>
      <c r="AY92" s="50"/>
      <c r="AZ92" s="50"/>
      <c r="BA92" s="50"/>
      <c r="BB92" s="50"/>
      <c r="BC92" s="337"/>
      <c r="BD92" s="97"/>
      <c r="BN92" s="97"/>
      <c r="BO92" s="166"/>
      <c r="BQ92" s="132"/>
      <c r="BR92" s="244">
        <v>0</v>
      </c>
      <c r="BS92" s="65" t="str">
        <f>""</f>
        <v/>
      </c>
      <c r="BT92" s="65" t="str">
        <f>""</f>
        <v/>
      </c>
      <c r="BY92" s="244">
        <f>CL140</f>
        <v>0</v>
      </c>
      <c r="BZ92" s="1" t="s">
        <v>3193</v>
      </c>
      <c r="CB92" s="65">
        <f t="shared" ref="CB92:CB97" si="5">IF(BY92=0,0,1)</f>
        <v>0</v>
      </c>
      <c r="CJ92" s="123"/>
      <c r="CK92" s="38" t="s">
        <v>3024</v>
      </c>
      <c r="CL92" s="65" t="str">
        <f>CL84</f>
        <v/>
      </c>
      <c r="CM92" s="127"/>
      <c r="CN92" s="38" t="s">
        <v>3024</v>
      </c>
      <c r="CO92" s="65" t="str">
        <f>CO84</f>
        <v/>
      </c>
      <c r="CP92" s="127"/>
      <c r="CQ92" s="6"/>
      <c r="CR92" s="138"/>
      <c r="CS92" s="38" t="s">
        <v>3068</v>
      </c>
      <c r="CT92" s="224">
        <f>CT86+CT91</f>
        <v>0</v>
      </c>
      <c r="CW92" s="170"/>
      <c r="CY92" s="1" t="s">
        <v>3158</v>
      </c>
      <c r="CZ92" s="144" t="str">
        <f>IF(CZ84=0,CZ74,"")</f>
        <v/>
      </c>
      <c r="DC92" s="182"/>
      <c r="DD92" s="182"/>
      <c r="DE92" s="182"/>
      <c r="DF92" s="182"/>
      <c r="DG92" s="182"/>
      <c r="DH92" s="182"/>
      <c r="DI92" s="182"/>
      <c r="DJ92" s="182"/>
      <c r="DK92" s="182"/>
      <c r="DM92" s="2"/>
      <c r="DN92" s="37" t="s">
        <v>750</v>
      </c>
      <c r="DO92" s="37" t="s">
        <v>750</v>
      </c>
      <c r="DP92" s="37" t="s">
        <v>3219</v>
      </c>
      <c r="DQ92" s="37" t="s">
        <v>3362</v>
      </c>
      <c r="DR92" s="37" t="s">
        <v>744</v>
      </c>
      <c r="DS92" s="22"/>
      <c r="DT92" s="6"/>
      <c r="DZ92" s="48"/>
      <c r="ED92" s="3"/>
      <c r="EE92" s="3"/>
      <c r="EF92" s="3"/>
      <c r="EG92" s="3"/>
      <c r="EH92" s="414" t="s">
        <v>4093</v>
      </c>
      <c r="EI92" s="48"/>
      <c r="EJ92" s="48"/>
      <c r="EK92" s="48"/>
      <c r="EL92" s="48"/>
      <c r="EM92" s="48"/>
      <c r="EN92" s="506" t="s">
        <v>4092</v>
      </c>
      <c r="EO92" s="48"/>
      <c r="EP92" s="3"/>
      <c r="EQ92" s="3"/>
      <c r="ER92" s="3"/>
      <c r="FK92" s="135"/>
      <c r="FY92" s="2"/>
      <c r="FZ92" s="37" t="s">
        <v>724</v>
      </c>
      <c r="GA92" s="37" t="s">
        <v>724</v>
      </c>
      <c r="GB92" s="37" t="s">
        <v>674</v>
      </c>
      <c r="GC92" s="37" t="s">
        <v>3888</v>
      </c>
      <c r="GD92" s="37" t="s">
        <v>677</v>
      </c>
      <c r="GF92" s="22"/>
      <c r="GL92" s="48"/>
      <c r="GV92" s="128"/>
      <c r="GW92" s="4"/>
      <c r="GX92" s="37"/>
      <c r="GY92" s="37"/>
      <c r="GZ92" s="37"/>
      <c r="HA92" s="37"/>
      <c r="HB92" s="37"/>
      <c r="HC92" s="37"/>
      <c r="HJ92" s="48"/>
      <c r="HK92" s="170"/>
      <c r="HM92" s="1" t="s">
        <v>3889</v>
      </c>
      <c r="HN92" s="1">
        <f>IF(HN19=HM92,12,0)</f>
        <v>0</v>
      </c>
      <c r="IB92" s="170"/>
      <c r="IG92" s="1"/>
      <c r="IH92" s="1"/>
      <c r="II92" s="1"/>
      <c r="IJ92" s="1"/>
      <c r="IK92" s="1"/>
      <c r="IL92" s="1"/>
      <c r="IM92" s="1"/>
      <c r="IN92" s="178"/>
      <c r="IO92" s="1"/>
      <c r="IP92" s="1" t="s">
        <v>3875</v>
      </c>
      <c r="IQ92" s="1">
        <f>IF(IR83&lt;100000,IR83,0)</f>
        <v>0</v>
      </c>
      <c r="IR92" s="1"/>
      <c r="IS92" s="1"/>
      <c r="IT92" s="187">
        <f>IQ83</f>
        <v>0</v>
      </c>
      <c r="IU92" s="141" t="s">
        <v>2069</v>
      </c>
      <c r="IV92" s="65" t="str">
        <f>LOOKUP(IT84,(IT85:IT91),(IV85:IV91))</f>
        <v>κ</v>
      </c>
      <c r="IW92" s="65" t="str">
        <f>LOOKUP(IT84,(IT85:IT91),(IW85:IW91))</f>
        <v>κ</v>
      </c>
      <c r="IX92" s="65" t="str">
        <f>LOOKUP(IT84,(IT85:IT91),(IX85:IX91))</f>
        <v>κ</v>
      </c>
      <c r="IY92" s="65" t="str">
        <f>LOOKUP(IT84,(IT85:IT91),(IY85:IY91))</f>
        <v>κ</v>
      </c>
      <c r="IZ92" s="65" t="str">
        <f>LOOKUP(IT84,(IT85:IT91),(IZ85:IZ91))</f>
        <v>κ</v>
      </c>
      <c r="JA92" s="118" t="str">
        <f>CONCATENATE(IT92,IU92,IV92,IW92,IX92,IY92,IZ92,JA91)</f>
        <v>0 κκκκκ0</v>
      </c>
      <c r="JB92" s="1"/>
      <c r="JC92" s="178"/>
      <c r="JD92" s="135"/>
    </row>
    <row r="93" spans="9:264">
      <c r="I93" s="22"/>
      <c r="J93" s="156" t="s">
        <v>291</v>
      </c>
      <c r="K93" s="156" t="s">
        <v>291</v>
      </c>
      <c r="L93" s="22">
        <v>15</v>
      </c>
      <c r="M93" s="22">
        <v>3</v>
      </c>
      <c r="N93" s="22">
        <v>47.3</v>
      </c>
      <c r="O93" s="22">
        <v>47</v>
      </c>
      <c r="P93" s="22">
        <v>39</v>
      </c>
      <c r="Q93" s="22">
        <v>15</v>
      </c>
      <c r="R93" s="22" t="s">
        <v>292</v>
      </c>
      <c r="S93" s="22" t="s">
        <v>293</v>
      </c>
      <c r="AB93" s="5"/>
      <c r="AI93" s="50"/>
      <c r="AJ93" s="50"/>
      <c r="AK93" s="50"/>
      <c r="AL93" s="50"/>
      <c r="AM93" s="50"/>
      <c r="AN93" s="50"/>
      <c r="AO93" s="50"/>
      <c r="AP93" s="50"/>
      <c r="AQ93" s="50"/>
      <c r="AR93" s="50"/>
      <c r="AS93" s="50"/>
      <c r="AT93" s="50"/>
      <c r="AU93" s="50"/>
      <c r="AV93" s="50"/>
      <c r="AW93" s="50"/>
      <c r="AX93" s="50"/>
      <c r="AY93" s="50"/>
      <c r="AZ93" s="50"/>
      <c r="BA93" s="50"/>
      <c r="BB93" s="50"/>
      <c r="BC93" s="337"/>
      <c r="BD93" s="97"/>
      <c r="BN93" s="97"/>
      <c r="BO93" s="166"/>
      <c r="BQ93" s="132"/>
      <c r="BR93" s="244">
        <v>1</v>
      </c>
      <c r="BS93" s="258" t="s">
        <v>3107</v>
      </c>
      <c r="BT93" s="258" t="s">
        <v>3109</v>
      </c>
      <c r="BY93" s="244">
        <f>CO138</f>
        <v>0</v>
      </c>
      <c r="BZ93" s="1" t="s">
        <v>3193</v>
      </c>
      <c r="CB93" s="65">
        <f t="shared" si="5"/>
        <v>0</v>
      </c>
      <c r="CJ93" s="123"/>
      <c r="CK93" s="38" t="s">
        <v>2818</v>
      </c>
      <c r="CL93" s="128" t="b">
        <f>ISNUMBER(CL92)</f>
        <v>0</v>
      </c>
      <c r="CM93" s="127" t="b">
        <v>0</v>
      </c>
      <c r="CN93" s="38" t="s">
        <v>2818</v>
      </c>
      <c r="CO93" s="128" t="b">
        <f>ISNUMBER(CO92)</f>
        <v>0</v>
      </c>
      <c r="CP93" s="127" t="b">
        <v>0</v>
      </c>
      <c r="CQ93" s="6"/>
      <c r="CR93" s="138"/>
      <c r="CS93" s="38" t="s">
        <v>3069</v>
      </c>
      <c r="CT93" s="142">
        <f>IF(CT92&gt;24,CT92,0)</f>
        <v>0</v>
      </c>
      <c r="CW93" s="170"/>
      <c r="CY93" s="1" t="s">
        <v>3155</v>
      </c>
      <c r="CZ93" s="144" t="str">
        <f>IF(CZ84=0,CZ75,"")</f>
        <v/>
      </c>
      <c r="DC93" s="182"/>
      <c r="DD93" s="175"/>
      <c r="DE93" s="267" t="s">
        <v>2998</v>
      </c>
      <c r="DF93" s="57">
        <f>DF131</f>
        <v>0</v>
      </c>
      <c r="DG93" s="175"/>
      <c r="DH93" s="175"/>
      <c r="DI93" s="175"/>
      <c r="DJ93" s="175"/>
      <c r="DK93" s="182"/>
      <c r="DM93" s="2"/>
      <c r="DN93" s="37" t="s">
        <v>3364</v>
      </c>
      <c r="DO93" s="37" t="s">
        <v>3364</v>
      </c>
      <c r="DP93" s="37" t="s">
        <v>3219</v>
      </c>
      <c r="DQ93" s="37" t="s">
        <v>3362</v>
      </c>
      <c r="DR93" s="37" t="s">
        <v>744</v>
      </c>
      <c r="DS93" s="22"/>
      <c r="DT93" s="6"/>
      <c r="DZ93" s="48"/>
      <c r="ED93" s="3"/>
      <c r="EE93" s="3"/>
      <c r="EF93" s="3"/>
      <c r="EG93" s="3"/>
      <c r="EH93" s="48" t="s">
        <v>4083</v>
      </c>
      <c r="EI93" s="48"/>
      <c r="EJ93" s="578" t="str">
        <f>AQ108</f>
        <v/>
      </c>
      <c r="EK93" s="448" t="s">
        <v>4097</v>
      </c>
      <c r="EL93" s="344"/>
      <c r="EM93" s="449" t="str">
        <f>AS108</f>
        <v/>
      </c>
      <c r="EN93" s="48" t="s">
        <v>4108</v>
      </c>
      <c r="EO93" s="578" t="str">
        <f>AU108</f>
        <v/>
      </c>
      <c r="EP93" s="3"/>
      <c r="EQ93" s="3"/>
      <c r="ER93" s="3"/>
      <c r="FK93" s="135"/>
      <c r="FY93" s="2"/>
      <c r="FZ93" s="37" t="s">
        <v>3361</v>
      </c>
      <c r="GA93" s="37" t="s">
        <v>3361</v>
      </c>
      <c r="GB93" s="37" t="s">
        <v>3219</v>
      </c>
      <c r="GC93" s="37" t="s">
        <v>3891</v>
      </c>
      <c r="GD93" s="37" t="s">
        <v>749</v>
      </c>
      <c r="GF93" s="22"/>
      <c r="GL93" s="48"/>
      <c r="GV93" s="128"/>
      <c r="GW93" s="4"/>
      <c r="GX93" s="107"/>
      <c r="GY93" s="107"/>
      <c r="GZ93" s="107"/>
      <c r="HA93" s="107"/>
      <c r="HB93" s="107"/>
      <c r="HC93" s="107"/>
      <c r="HJ93" s="48"/>
      <c r="HK93" s="170"/>
      <c r="HM93" s="1" t="s">
        <v>3890</v>
      </c>
      <c r="HN93" s="1">
        <f>IF(HN19=HM93,12,0)</f>
        <v>0</v>
      </c>
      <c r="IB93" s="170"/>
      <c r="IG93" s="1"/>
      <c r="IH93" s="1"/>
      <c r="II93" s="1"/>
      <c r="IJ93" s="1"/>
      <c r="IK93" s="1"/>
      <c r="IL93" s="1"/>
      <c r="IM93" s="1"/>
      <c r="IN93" s="178"/>
      <c r="IO93" s="1"/>
      <c r="IP93" s="1" t="s">
        <v>3878</v>
      </c>
      <c r="IQ93" s="205">
        <f>IF(IQ92&lt;10000,0,5)</f>
        <v>0</v>
      </c>
      <c r="IR93" s="1"/>
      <c r="IS93" s="1"/>
      <c r="IT93" s="1"/>
      <c r="IU93" s="1"/>
      <c r="IV93" s="1"/>
      <c r="IW93" s="1"/>
      <c r="IX93" s="1"/>
      <c r="IY93" s="1"/>
      <c r="IZ93" s="1"/>
      <c r="JA93" s="1"/>
      <c r="JB93" s="1"/>
      <c r="JC93" s="178"/>
      <c r="JD93" s="135"/>
    </row>
    <row r="94" spans="9:264" ht="15.75">
      <c r="I94" s="22"/>
      <c r="J94" s="156" t="s">
        <v>294</v>
      </c>
      <c r="K94" s="156" t="s">
        <v>294</v>
      </c>
      <c r="L94" s="22">
        <v>14</v>
      </c>
      <c r="M94" s="22">
        <v>15</v>
      </c>
      <c r="N94" s="22">
        <v>39.700000000000003</v>
      </c>
      <c r="O94" s="22">
        <v>19</v>
      </c>
      <c r="P94" s="22">
        <v>10</v>
      </c>
      <c r="Q94" s="22">
        <v>57</v>
      </c>
      <c r="R94" s="22" t="s">
        <v>295</v>
      </c>
      <c r="S94" s="22" t="s">
        <v>296</v>
      </c>
      <c r="AB94" s="5"/>
      <c r="AI94" s="50"/>
      <c r="AJ94" s="50"/>
      <c r="AK94" s="50"/>
      <c r="AL94" s="50"/>
      <c r="AM94" s="50"/>
      <c r="AN94" s="50"/>
      <c r="AO94" s="50"/>
      <c r="AP94" s="50"/>
      <c r="AQ94" s="50"/>
      <c r="AR94" s="50"/>
      <c r="AS94" s="50"/>
      <c r="AT94" s="50"/>
      <c r="AU94" s="50"/>
      <c r="AV94" s="50"/>
      <c r="AW94" s="50"/>
      <c r="AX94" s="50"/>
      <c r="AY94" s="50"/>
      <c r="AZ94" s="50"/>
      <c r="BA94" s="50"/>
      <c r="BB94" s="50"/>
      <c r="BC94" s="337"/>
      <c r="BD94" s="97"/>
      <c r="BN94" s="97"/>
      <c r="BO94" s="166"/>
      <c r="BQ94" s="132"/>
      <c r="BR94" s="244">
        <v>2</v>
      </c>
      <c r="BS94" s="258" t="s">
        <v>3107</v>
      </c>
      <c r="BT94" s="258" t="s">
        <v>3111</v>
      </c>
      <c r="BY94" s="244">
        <f>CL141</f>
        <v>0</v>
      </c>
      <c r="BZ94" s="1" t="s">
        <v>3193</v>
      </c>
      <c r="CB94" s="65">
        <f t="shared" si="5"/>
        <v>0</v>
      </c>
      <c r="CJ94" s="123"/>
      <c r="CK94" s="38" t="s">
        <v>2855</v>
      </c>
      <c r="CL94" s="129">
        <f>IF(CL93=CM93,0,CL92)</f>
        <v>0</v>
      </c>
      <c r="CM94" s="127"/>
      <c r="CN94" s="38" t="s">
        <v>2855</v>
      </c>
      <c r="CO94" s="129">
        <f>IF(CO93=CP93,0,CO92)</f>
        <v>0</v>
      </c>
      <c r="CP94" s="127"/>
      <c r="CQ94" s="6"/>
      <c r="CR94" s="138"/>
      <c r="CS94" s="38" t="s">
        <v>3070</v>
      </c>
      <c r="CT94" s="127">
        <f>CT93-24</f>
        <v>-24</v>
      </c>
      <c r="CW94" s="170"/>
      <c r="CY94" s="1" t="s">
        <v>3157</v>
      </c>
      <c r="CZ94" s="144" t="str">
        <f>IF(CZ84=0,CZ76,"")</f>
        <v/>
      </c>
      <c r="DC94" s="182"/>
      <c r="DD94" s="402"/>
      <c r="DE94" s="402" t="s">
        <v>2935</v>
      </c>
      <c r="DF94" s="195">
        <f>IF(DF93&lt;10,0,DF93)</f>
        <v>0</v>
      </c>
      <c r="DG94" s="403" t="s">
        <v>2999</v>
      </c>
      <c r="DH94" s="402"/>
      <c r="DI94" s="402"/>
      <c r="DJ94" s="402"/>
      <c r="DK94" s="182"/>
      <c r="DM94" s="2"/>
      <c r="DN94" s="37" t="s">
        <v>3219</v>
      </c>
      <c r="DO94" s="37" t="s">
        <v>3219</v>
      </c>
      <c r="DP94" s="37" t="s">
        <v>3219</v>
      </c>
      <c r="DQ94" s="37" t="s">
        <v>3362</v>
      </c>
      <c r="DR94" s="37" t="s">
        <v>744</v>
      </c>
      <c r="DS94" s="22"/>
      <c r="DT94" s="6"/>
      <c r="DZ94" s="48"/>
      <c r="ED94" s="3"/>
      <c r="EE94" s="3"/>
      <c r="EF94" s="3"/>
      <c r="EG94" s="3"/>
      <c r="EH94" s="48" t="s">
        <v>4072</v>
      </c>
      <c r="EI94" s="48"/>
      <c r="EJ94" s="578" t="str">
        <f>AQ109</f>
        <v/>
      </c>
      <c r="EK94" s="507" t="str">
        <f>AR109</f>
        <v/>
      </c>
      <c r="EL94" s="4"/>
      <c r="EM94" s="116"/>
      <c r="EN94" s="48" t="s">
        <v>4078</v>
      </c>
      <c r="EO94" s="578" t="str">
        <f>AU109</f>
        <v/>
      </c>
      <c r="EP94" s="3"/>
      <c r="EQ94" s="3"/>
      <c r="ER94" s="3"/>
      <c r="FK94" s="135"/>
      <c r="FY94" s="2"/>
      <c r="FZ94" s="37" t="s">
        <v>3218</v>
      </c>
      <c r="GA94" s="37" t="s">
        <v>3218</v>
      </c>
      <c r="GB94" s="37" t="s">
        <v>3219</v>
      </c>
      <c r="GC94" s="37" t="s">
        <v>3891</v>
      </c>
      <c r="GD94" s="37" t="s">
        <v>749</v>
      </c>
      <c r="GF94" s="22"/>
      <c r="GL94" s="48"/>
      <c r="GV94" s="128"/>
      <c r="GW94" s="4"/>
      <c r="GX94" s="48"/>
      <c r="GY94" s="48"/>
      <c r="GZ94" s="48"/>
      <c r="HA94" s="48"/>
      <c r="HB94" s="48"/>
      <c r="HC94" s="48"/>
      <c r="HD94" s="48"/>
      <c r="HE94" s="48"/>
      <c r="HF94" s="48"/>
      <c r="HG94" s="48"/>
      <c r="HH94" s="48"/>
      <c r="HI94" s="48"/>
      <c r="HJ94" s="48"/>
      <c r="HK94" s="170"/>
      <c r="HM94" s="1" t="s">
        <v>3892</v>
      </c>
      <c r="HN94" s="1">
        <f>IF(HN19=HM94,12,0)</f>
        <v>0</v>
      </c>
      <c r="IB94" s="170"/>
      <c r="IG94" s="1"/>
      <c r="IH94" s="1"/>
      <c r="II94" s="1"/>
      <c r="IJ94" s="1"/>
      <c r="IK94" s="1"/>
      <c r="IL94" s="1"/>
      <c r="IM94" s="1"/>
      <c r="IN94" s="178"/>
      <c r="IO94" s="1"/>
      <c r="IP94" s="1" t="s">
        <v>3882</v>
      </c>
      <c r="IQ94" s="1">
        <f>IF(IR83&lt;1000000,IR83,0)</f>
        <v>0</v>
      </c>
      <c r="IR94" s="1"/>
      <c r="IS94" s="1"/>
      <c r="IT94" s="1"/>
      <c r="IU94" s="1"/>
      <c r="IV94" s="1"/>
      <c r="IW94" s="1"/>
      <c r="IX94" s="1"/>
      <c r="IY94" s="1"/>
      <c r="IZ94" s="1"/>
      <c r="JA94" s="1"/>
      <c r="JB94" s="1"/>
      <c r="JC94" s="178"/>
      <c r="JD94" s="135"/>
    </row>
    <row r="95" spans="9:264" ht="18.75">
      <c r="I95" s="22"/>
      <c r="J95" s="156" t="s">
        <v>297</v>
      </c>
      <c r="K95" s="156" t="s">
        <v>297</v>
      </c>
      <c r="L95" s="22">
        <v>15</v>
      </c>
      <c r="M95" s="22">
        <v>1</v>
      </c>
      <c r="N95" s="22">
        <v>56.8</v>
      </c>
      <c r="O95" s="22">
        <v>40</v>
      </c>
      <c r="P95" s="22">
        <v>23</v>
      </c>
      <c r="Q95" s="22">
        <v>26</v>
      </c>
      <c r="R95" s="22" t="s">
        <v>298</v>
      </c>
      <c r="S95" s="22" t="s">
        <v>299</v>
      </c>
      <c r="AB95" s="5"/>
      <c r="AI95" s="50"/>
      <c r="AJ95" s="50"/>
      <c r="AK95" s="50"/>
      <c r="AL95" s="50"/>
      <c r="AM95" s="50"/>
      <c r="AN95" s="50"/>
      <c r="AO95" s="50"/>
      <c r="AP95" s="50"/>
      <c r="AQ95" s="50"/>
      <c r="AR95" s="50"/>
      <c r="AS95" s="50"/>
      <c r="AT95" s="50"/>
      <c r="AU95" s="50"/>
      <c r="AV95" s="50"/>
      <c r="AW95" s="50"/>
      <c r="AX95" s="50"/>
      <c r="AY95" s="50"/>
      <c r="AZ95" s="50"/>
      <c r="BA95" s="50"/>
      <c r="BB95" s="50"/>
      <c r="BC95" s="337"/>
      <c r="BD95" s="97"/>
      <c r="BN95" s="97"/>
      <c r="BO95" s="166"/>
      <c r="BQ95" s="132"/>
      <c r="BR95" s="244">
        <v>3</v>
      </c>
      <c r="BS95" s="258" t="s">
        <v>3120</v>
      </c>
      <c r="BT95" s="258" t="s">
        <v>3118</v>
      </c>
      <c r="BY95" s="244">
        <f>CL142</f>
        <v>0</v>
      </c>
      <c r="BZ95" s="1" t="s">
        <v>3193</v>
      </c>
      <c r="CB95" s="65">
        <f t="shared" si="5"/>
        <v>0</v>
      </c>
      <c r="CJ95" s="123"/>
      <c r="CK95" s="130" t="s">
        <v>3025</v>
      </c>
      <c r="CL95" s="132">
        <f>IF(CL93=CM93,1,0)</f>
        <v>1</v>
      </c>
      <c r="CM95" s="127"/>
      <c r="CN95" s="130" t="s">
        <v>3025</v>
      </c>
      <c r="CO95" s="132">
        <f>IF(CO93=CP93,1,0)</f>
        <v>1</v>
      </c>
      <c r="CP95" s="127"/>
      <c r="CQ95" s="6"/>
      <c r="CR95" s="138"/>
      <c r="CS95" s="38" t="s">
        <v>3071</v>
      </c>
      <c r="CT95" s="127">
        <f>IF(CT94=0,0,CT94)</f>
        <v>-24</v>
      </c>
      <c r="CW95" s="170"/>
      <c r="CZ95" s="235"/>
      <c r="DC95" s="182"/>
      <c r="DE95" s="1" t="s">
        <v>2933</v>
      </c>
      <c r="DF95" s="404">
        <f>IF(DF94&lt;100,DF94,0)</f>
        <v>0</v>
      </c>
      <c r="DG95" s="1" t="s">
        <v>2931</v>
      </c>
      <c r="DH95" s="405">
        <f t="shared" ref="DH95:DH103" si="6">IF(DF96=0,DF95,0)</f>
        <v>0</v>
      </c>
      <c r="DI95" s="1" t="s">
        <v>2936</v>
      </c>
      <c r="DJ95" s="170">
        <f>IF(DH95&gt;0,90,0)</f>
        <v>0</v>
      </c>
      <c r="DK95" s="182"/>
      <c r="DM95" s="2"/>
      <c r="DN95" s="37" t="s">
        <v>3365</v>
      </c>
      <c r="DO95" s="37" t="s">
        <v>3365</v>
      </c>
      <c r="DP95" s="37" t="s">
        <v>761</v>
      </c>
      <c r="DQ95" s="37" t="s">
        <v>3366</v>
      </c>
      <c r="DR95" s="37" t="s">
        <v>762</v>
      </c>
      <c r="DS95" s="22"/>
      <c r="DT95" s="6"/>
      <c r="DZ95" s="48"/>
      <c r="ED95" s="3"/>
      <c r="EE95" s="3"/>
      <c r="EF95" s="3"/>
      <c r="EG95" s="3"/>
      <c r="EH95" s="48" t="s">
        <v>4073</v>
      </c>
      <c r="EI95" s="48"/>
      <c r="EJ95" s="579" t="str">
        <f>AQ110</f>
        <v/>
      </c>
      <c r="EK95" s="508" t="s">
        <v>4098</v>
      </c>
      <c r="EL95" s="459"/>
      <c r="EM95" s="509" t="str">
        <f>AS110</f>
        <v/>
      </c>
      <c r="EN95" s="48" t="s">
        <v>2789</v>
      </c>
      <c r="EO95" s="579" t="str">
        <f>AU110</f>
        <v/>
      </c>
      <c r="EP95" s="3" t="s">
        <v>4034</v>
      </c>
      <c r="EQ95" s="3"/>
      <c r="ER95" s="3"/>
      <c r="FK95" s="135"/>
      <c r="FY95" s="2"/>
      <c r="FZ95" s="37" t="s">
        <v>3363</v>
      </c>
      <c r="GA95" s="37" t="s">
        <v>3363</v>
      </c>
      <c r="GB95" s="37" t="s">
        <v>3219</v>
      </c>
      <c r="GC95" s="37" t="s">
        <v>3891</v>
      </c>
      <c r="GD95" s="37" t="s">
        <v>749</v>
      </c>
      <c r="GF95" s="22"/>
      <c r="GL95" s="48"/>
      <c r="GV95" s="128"/>
      <c r="GW95" s="128"/>
      <c r="HJ95" s="48"/>
      <c r="HK95" s="170"/>
      <c r="HM95" s="1" t="s">
        <v>3688</v>
      </c>
      <c r="HN95" s="170">
        <f>HN91+HN92+HN93+HN94</f>
        <v>0</v>
      </c>
      <c r="IB95" s="170"/>
      <c r="IG95" s="1"/>
      <c r="IH95" s="1"/>
      <c r="II95" s="1"/>
      <c r="IJ95" s="1"/>
      <c r="IK95" s="1"/>
      <c r="IL95" s="1"/>
      <c r="IM95" s="1"/>
      <c r="IN95" s="178"/>
      <c r="IO95" s="1"/>
      <c r="IP95" s="1" t="s">
        <v>3885</v>
      </c>
      <c r="IQ95" s="205">
        <f>IF(IQ94&lt;100000,0,6)</f>
        <v>0</v>
      </c>
      <c r="IR95" s="1"/>
      <c r="IS95" s="1"/>
      <c r="IT95" s="1"/>
      <c r="IU95" s="1"/>
      <c r="IV95" s="1"/>
      <c r="IW95" s="1"/>
      <c r="IX95" s="1"/>
      <c r="IY95" s="1"/>
      <c r="IZ95" s="1"/>
      <c r="JA95" s="1"/>
      <c r="JB95" s="1"/>
      <c r="JC95" s="178"/>
      <c r="JD95" s="135"/>
    </row>
    <row r="96" spans="9:264">
      <c r="I96" s="22"/>
      <c r="J96" s="156" t="s">
        <v>300</v>
      </c>
      <c r="K96" s="156" t="s">
        <v>300</v>
      </c>
      <c r="L96" s="22">
        <v>14</v>
      </c>
      <c r="M96" s="22">
        <v>32</v>
      </c>
      <c r="N96" s="22">
        <v>4.7</v>
      </c>
      <c r="O96" s="22">
        <v>38</v>
      </c>
      <c r="P96" s="22">
        <v>18</v>
      </c>
      <c r="Q96" s="22">
        <v>30</v>
      </c>
      <c r="R96" s="22" t="s">
        <v>301</v>
      </c>
      <c r="S96" s="22" t="s">
        <v>302</v>
      </c>
      <c r="AB96" s="5"/>
      <c r="AI96" s="50"/>
      <c r="AJ96" s="50"/>
      <c r="AK96" s="50"/>
      <c r="AL96" s="50"/>
      <c r="AM96" s="50"/>
      <c r="AN96" s="50"/>
      <c r="AO96" s="50"/>
      <c r="AP96" s="50"/>
      <c r="AQ96" s="50"/>
      <c r="AR96" s="50"/>
      <c r="AS96" s="50"/>
      <c r="AT96" s="50"/>
      <c r="AU96" s="50"/>
      <c r="AV96" s="50"/>
      <c r="AW96" s="50"/>
      <c r="AX96" s="50"/>
      <c r="AY96" s="50"/>
      <c r="AZ96" s="50"/>
      <c r="BA96" s="50"/>
      <c r="BB96" s="50"/>
      <c r="BC96" s="337"/>
      <c r="BD96" s="97"/>
      <c r="BN96" s="97"/>
      <c r="BO96" s="166"/>
      <c r="BQ96" s="132"/>
      <c r="BR96" s="244">
        <v>4</v>
      </c>
      <c r="BS96" s="258" t="s">
        <v>3120</v>
      </c>
      <c r="BT96" s="258" t="s">
        <v>3119</v>
      </c>
      <c r="BY96" s="244">
        <f>CO139</f>
        <v>0</v>
      </c>
      <c r="BZ96" s="1" t="s">
        <v>3193</v>
      </c>
      <c r="CB96" s="65">
        <f t="shared" si="5"/>
        <v>0</v>
      </c>
      <c r="CJ96" s="123"/>
      <c r="CK96" s="130"/>
      <c r="CL96" s="132"/>
      <c r="CM96" s="127"/>
      <c r="CN96" s="130"/>
      <c r="CO96" s="132"/>
      <c r="CP96" s="127"/>
      <c r="CQ96" s="6"/>
      <c r="CR96" s="138"/>
      <c r="CS96" s="38" t="s">
        <v>3072</v>
      </c>
      <c r="CT96" s="143">
        <f>IF(CT95&gt;0,CT95,CT92)</f>
        <v>0</v>
      </c>
      <c r="CW96" s="170"/>
      <c r="CY96" s="108" t="s">
        <v>3017</v>
      </c>
      <c r="CZ96" s="235"/>
      <c r="DC96" s="182"/>
      <c r="DE96" s="1" t="s">
        <v>2937</v>
      </c>
      <c r="DF96" s="404">
        <f>IF(DF94&lt;90,DF94,0)</f>
        <v>0</v>
      </c>
      <c r="DG96" s="1" t="s">
        <v>2931</v>
      </c>
      <c r="DH96" s="405">
        <f t="shared" si="6"/>
        <v>0</v>
      </c>
      <c r="DI96" s="1" t="s">
        <v>2938</v>
      </c>
      <c r="DJ96" s="170">
        <f>IF(DH96&gt;0,80,0)</f>
        <v>0</v>
      </c>
      <c r="DK96" s="182"/>
      <c r="DM96" s="2"/>
      <c r="DN96" s="37" t="s">
        <v>761</v>
      </c>
      <c r="DO96" s="37" t="s">
        <v>761</v>
      </c>
      <c r="DP96" s="37" t="s">
        <v>761</v>
      </c>
      <c r="DQ96" s="37" t="s">
        <v>3366</v>
      </c>
      <c r="DR96" s="37" t="s">
        <v>762</v>
      </c>
      <c r="DS96" s="22"/>
      <c r="DT96" s="6"/>
      <c r="DZ96" s="48"/>
      <c r="ED96" s="3"/>
      <c r="EE96" s="3"/>
      <c r="EF96" s="3"/>
      <c r="EG96" s="3"/>
      <c r="EH96" s="48" t="s">
        <v>3562</v>
      </c>
      <c r="EI96" s="48"/>
      <c r="EJ96" s="580" t="str">
        <f>AQ111</f>
        <v/>
      </c>
      <c r="EK96" s="48"/>
      <c r="EL96" s="48"/>
      <c r="EM96" s="48"/>
      <c r="EN96" s="48" t="s">
        <v>2783</v>
      </c>
      <c r="EO96" s="580" t="str">
        <f>AU111</f>
        <v/>
      </c>
      <c r="EP96" s="3"/>
      <c r="EQ96" s="3"/>
      <c r="ER96" s="3"/>
      <c r="FK96" s="135"/>
      <c r="FY96" s="2"/>
      <c r="FZ96" s="37" t="s">
        <v>750</v>
      </c>
      <c r="GA96" s="37" t="s">
        <v>750</v>
      </c>
      <c r="GB96" s="37" t="s">
        <v>3219</v>
      </c>
      <c r="GC96" s="37" t="s">
        <v>3891</v>
      </c>
      <c r="GD96" s="37" t="s">
        <v>749</v>
      </c>
      <c r="GF96" s="22"/>
      <c r="GL96" s="48"/>
      <c r="GV96" s="128"/>
      <c r="GW96" s="128"/>
      <c r="HJ96" s="48"/>
      <c r="HK96" s="170"/>
      <c r="HM96" s="191">
        <v>13</v>
      </c>
      <c r="IB96" s="170"/>
      <c r="IG96" s="1"/>
      <c r="IH96" s="1"/>
      <c r="II96" s="1"/>
      <c r="IJ96" s="1"/>
      <c r="IK96" s="1"/>
      <c r="IL96" s="1"/>
      <c r="IM96" s="1"/>
      <c r="IN96" s="178"/>
      <c r="IO96" s="1"/>
      <c r="IP96" s="1" t="s">
        <v>3688</v>
      </c>
      <c r="IQ96" s="548">
        <f>IQ85+IQ87+IQ89+IQ91+IQ93+IQ95</f>
        <v>0</v>
      </c>
      <c r="IR96" s="1"/>
      <c r="IS96" s="1"/>
      <c r="IT96" s="1"/>
      <c r="IU96" s="1"/>
      <c r="IV96" s="1"/>
      <c r="IW96" s="1"/>
      <c r="IX96" s="1"/>
      <c r="IY96" s="1"/>
      <c r="IZ96" s="1"/>
      <c r="JA96" s="1"/>
      <c r="JB96" s="1"/>
      <c r="JC96" s="178"/>
      <c r="JD96" s="135"/>
    </row>
    <row r="97" spans="9:264">
      <c r="I97" s="22"/>
      <c r="J97" s="156" t="s">
        <v>303</v>
      </c>
      <c r="K97" s="156" t="s">
        <v>303</v>
      </c>
      <c r="L97" s="22">
        <v>15</v>
      </c>
      <c r="M97" s="22">
        <v>15</v>
      </c>
      <c r="N97" s="22">
        <v>30.2</v>
      </c>
      <c r="O97" s="22">
        <v>33</v>
      </c>
      <c r="P97" s="22">
        <v>18</v>
      </c>
      <c r="Q97" s="22">
        <v>53</v>
      </c>
      <c r="R97" s="22" t="s">
        <v>304</v>
      </c>
      <c r="S97" s="22" t="s">
        <v>305</v>
      </c>
      <c r="AB97" s="5"/>
      <c r="AI97" s="63"/>
      <c r="AJ97" s="63"/>
      <c r="AK97" s="63"/>
      <c r="AL97" s="63"/>
      <c r="AM97" s="63"/>
      <c r="AN97" s="63"/>
      <c r="AO97" s="63"/>
      <c r="AP97" s="342"/>
      <c r="AQ97" s="342"/>
      <c r="AR97" s="3"/>
      <c r="AS97" s="3"/>
      <c r="AT97" s="342"/>
      <c r="AU97" s="342"/>
      <c r="AV97" s="63"/>
      <c r="AW97" s="63"/>
      <c r="AX97" s="63"/>
      <c r="AY97" s="63"/>
      <c r="AZ97" s="5"/>
      <c r="BA97" s="5"/>
      <c r="BB97" s="5"/>
      <c r="BC97" s="5"/>
      <c r="BD97" s="97"/>
      <c r="BN97" s="97"/>
      <c r="BO97" s="166"/>
      <c r="BQ97" s="132"/>
      <c r="BR97" s="244">
        <v>5</v>
      </c>
      <c r="BS97" s="258" t="s">
        <v>3120</v>
      </c>
      <c r="BT97" s="258" t="s">
        <v>3121</v>
      </c>
      <c r="BY97" s="244">
        <f>CO141</f>
        <v>0</v>
      </c>
      <c r="BZ97" s="1" t="s">
        <v>3193</v>
      </c>
      <c r="CB97" s="65">
        <f t="shared" si="5"/>
        <v>0</v>
      </c>
      <c r="CJ97" s="123"/>
      <c r="CK97" s="38" t="s">
        <v>2802</v>
      </c>
      <c r="CL97" s="65" t="str">
        <f>CL85</f>
        <v/>
      </c>
      <c r="CM97" s="127"/>
      <c r="CN97" s="38" t="s">
        <v>2802</v>
      </c>
      <c r="CO97" s="65" t="str">
        <f>CO85</f>
        <v/>
      </c>
      <c r="CP97" s="127"/>
      <c r="CQ97" s="6"/>
      <c r="CR97" s="138"/>
      <c r="CS97" s="38"/>
      <c r="CT97" s="127"/>
      <c r="CW97" s="170"/>
      <c r="CY97" s="108" t="s">
        <v>3018</v>
      </c>
      <c r="CZ97" s="235"/>
      <c r="DC97" s="182"/>
      <c r="DE97" s="1" t="s">
        <v>2939</v>
      </c>
      <c r="DF97" s="404">
        <f>IF(DF94&lt;80,DF94,0)</f>
        <v>0</v>
      </c>
      <c r="DG97" s="1" t="s">
        <v>2931</v>
      </c>
      <c r="DH97" s="405">
        <f t="shared" si="6"/>
        <v>0</v>
      </c>
      <c r="DI97" s="1" t="s">
        <v>2940</v>
      </c>
      <c r="DJ97" s="170">
        <f>IF(DH97&gt;0,70,0)</f>
        <v>0</v>
      </c>
      <c r="DK97" s="182"/>
      <c r="DM97" s="2"/>
      <c r="DN97" s="37" t="s">
        <v>3367</v>
      </c>
      <c r="DO97" s="37" t="s">
        <v>3367</v>
      </c>
      <c r="DP97" s="37" t="s">
        <v>766</v>
      </c>
      <c r="DQ97" s="37" t="s">
        <v>3368</v>
      </c>
      <c r="DR97" s="37" t="s">
        <v>3369</v>
      </c>
      <c r="DS97" s="22"/>
      <c r="DT97" s="6"/>
      <c r="DZ97" s="48"/>
      <c r="ED97" s="3"/>
      <c r="EE97" s="3"/>
      <c r="EF97" s="3"/>
      <c r="EG97" s="3"/>
      <c r="EH97" s="573" t="str">
        <f>AP112</f>
        <v/>
      </c>
      <c r="EI97" s="3"/>
      <c r="EJ97" s="3"/>
      <c r="EK97" s="510" t="s">
        <v>2794</v>
      </c>
      <c r="EL97" s="65"/>
      <c r="EM97" s="65"/>
      <c r="EN97" s="573" t="str">
        <f>AT112</f>
        <v/>
      </c>
      <c r="EO97" s="3"/>
      <c r="EP97" s="3"/>
      <c r="EQ97" s="3"/>
      <c r="ER97" s="3"/>
      <c r="FK97" s="135"/>
      <c r="FY97" s="2"/>
      <c r="FZ97" s="37" t="s">
        <v>3364</v>
      </c>
      <c r="GA97" s="37" t="s">
        <v>3364</v>
      </c>
      <c r="GB97" s="37" t="s">
        <v>3219</v>
      </c>
      <c r="GC97" s="37" t="s">
        <v>3891</v>
      </c>
      <c r="GD97" s="37" t="s">
        <v>749</v>
      </c>
      <c r="GF97" s="22"/>
      <c r="GL97" s="48"/>
      <c r="GV97" s="128"/>
      <c r="GW97" s="128"/>
      <c r="HJ97" s="48"/>
      <c r="HK97" s="170"/>
      <c r="HM97" s="1" t="s">
        <v>3895</v>
      </c>
      <c r="IB97" s="170"/>
      <c r="IG97" s="1"/>
      <c r="IH97" s="1"/>
      <c r="II97" s="1"/>
      <c r="IJ97" s="1"/>
      <c r="IK97" s="1"/>
      <c r="IL97" s="1"/>
      <c r="IM97" s="1"/>
      <c r="IN97" s="178"/>
      <c r="IO97" s="1"/>
      <c r="IQ97" s="1"/>
      <c r="IR97" s="1"/>
      <c r="IS97" s="1"/>
      <c r="IT97" s="1"/>
      <c r="IU97" s="1"/>
      <c r="IV97" s="1"/>
      <c r="IW97" s="1"/>
      <c r="IX97" s="1"/>
      <c r="IY97" s="1"/>
      <c r="IZ97" s="1"/>
      <c r="JA97" s="1"/>
      <c r="JB97" s="1"/>
      <c r="JC97" s="178"/>
      <c r="JD97" s="135"/>
    </row>
    <row r="98" spans="9:264">
      <c r="I98" s="22"/>
      <c r="J98" s="156" t="s">
        <v>306</v>
      </c>
      <c r="K98" s="156" t="s">
        <v>306</v>
      </c>
      <c r="L98" s="22">
        <v>14</v>
      </c>
      <c r="M98" s="22">
        <v>44</v>
      </c>
      <c r="N98" s="22">
        <v>59.2</v>
      </c>
      <c r="O98" s="22">
        <v>27</v>
      </c>
      <c r="P98" s="22">
        <v>4</v>
      </c>
      <c r="Q98" s="22">
        <v>27</v>
      </c>
      <c r="R98" s="22" t="s">
        <v>307</v>
      </c>
      <c r="S98" s="22" t="s">
        <v>308</v>
      </c>
      <c r="AB98" s="5"/>
      <c r="AI98" s="3"/>
      <c r="AJ98" s="3"/>
      <c r="AK98" s="3"/>
      <c r="AL98" s="3"/>
      <c r="AM98" s="3"/>
      <c r="AN98" s="3"/>
      <c r="AO98" s="3"/>
      <c r="AP98" s="328" t="str">
        <f>BS139</f>
        <v/>
      </c>
      <c r="AQ98" s="329"/>
      <c r="AR98" s="330" t="s">
        <v>2773</v>
      </c>
      <c r="AS98" s="328" t="str">
        <f>CB139</f>
        <v/>
      </c>
      <c r="AT98" s="328"/>
      <c r="AU98" s="329"/>
      <c r="AV98" s="3"/>
      <c r="AW98" s="3"/>
      <c r="AX98" s="3"/>
      <c r="AY98" s="3"/>
      <c r="AZ98" s="3"/>
      <c r="BA98" s="3"/>
      <c r="BB98" s="3"/>
      <c r="BC98" s="3"/>
      <c r="BD98" s="97"/>
      <c r="BN98" s="97"/>
      <c r="BO98" s="166"/>
      <c r="BQ98" s="132"/>
      <c r="BR98" s="244">
        <v>6</v>
      </c>
      <c r="BS98" s="258" t="s">
        <v>3120</v>
      </c>
      <c r="BT98" s="258" t="s">
        <v>3122</v>
      </c>
      <c r="BY98" s="244">
        <f>IF(Y63="ωωωωω",7,0)</f>
        <v>0</v>
      </c>
      <c r="BZ98" s="1" t="s">
        <v>3193</v>
      </c>
      <c r="CB98" s="65">
        <f>IF(BY98=0,0,1)</f>
        <v>0</v>
      </c>
      <c r="CJ98" s="123"/>
      <c r="CK98" s="38" t="s">
        <v>2818</v>
      </c>
      <c r="CL98" s="128" t="b">
        <f>ISNUMBER(CL97)</f>
        <v>0</v>
      </c>
      <c r="CM98" s="127" t="b">
        <v>0</v>
      </c>
      <c r="CN98" s="38" t="s">
        <v>2818</v>
      </c>
      <c r="CO98" s="128" t="b">
        <f>ISNUMBER(CO97)</f>
        <v>0</v>
      </c>
      <c r="CP98" s="127" t="b">
        <v>0</v>
      </c>
      <c r="CQ98" s="6"/>
      <c r="CR98" s="138"/>
      <c r="CS98" s="133" t="s">
        <v>3073</v>
      </c>
      <c r="CT98" s="127"/>
      <c r="CW98" s="170"/>
      <c r="CY98" s="108" t="s">
        <v>2872</v>
      </c>
      <c r="CZ98" s="235"/>
      <c r="DC98" s="182"/>
      <c r="DE98" s="1" t="s">
        <v>2941</v>
      </c>
      <c r="DF98" s="404">
        <f>IF(DF94&lt;70,DF94,0)</f>
        <v>0</v>
      </c>
      <c r="DG98" s="1" t="s">
        <v>2931</v>
      </c>
      <c r="DH98" s="405">
        <f t="shared" si="6"/>
        <v>0</v>
      </c>
      <c r="DI98" s="1" t="s">
        <v>2942</v>
      </c>
      <c r="DJ98" s="170">
        <f>IF(DH98&gt;0,60,0)</f>
        <v>0</v>
      </c>
      <c r="DK98" s="182"/>
      <c r="DM98" s="2"/>
      <c r="DN98" s="37" t="s">
        <v>766</v>
      </c>
      <c r="DO98" s="37" t="s">
        <v>766</v>
      </c>
      <c r="DP98" s="37" t="s">
        <v>766</v>
      </c>
      <c r="DQ98" s="37" t="s">
        <v>3368</v>
      </c>
      <c r="DR98" s="37" t="s">
        <v>3369</v>
      </c>
      <c r="DS98" s="22"/>
      <c r="DT98" s="6"/>
      <c r="DZ98" s="48"/>
      <c r="ED98" s="3"/>
      <c r="EE98" s="3"/>
      <c r="EF98" s="3"/>
      <c r="EG98" s="3"/>
      <c r="EH98" s="573" t="str">
        <f>AP113</f>
        <v/>
      </c>
      <c r="EI98" s="3"/>
      <c r="EJ98" s="3"/>
      <c r="EK98" s="506" t="s">
        <v>2823</v>
      </c>
      <c r="EL98" s="65"/>
      <c r="EM98" s="65"/>
      <c r="EN98" s="573" t="str">
        <f>AT113</f>
        <v/>
      </c>
      <c r="EO98" s="3"/>
      <c r="EP98" s="3"/>
      <c r="EQ98" s="3"/>
      <c r="ER98" s="3"/>
      <c r="FK98" s="135"/>
      <c r="FY98" s="2"/>
      <c r="FZ98" s="37" t="s">
        <v>3219</v>
      </c>
      <c r="GA98" s="37" t="s">
        <v>3219</v>
      </c>
      <c r="GB98" s="37" t="s">
        <v>3219</v>
      </c>
      <c r="GC98" s="37" t="s">
        <v>3891</v>
      </c>
      <c r="GD98" s="37" t="s">
        <v>749</v>
      </c>
      <c r="GF98" s="22"/>
      <c r="GL98" s="48"/>
      <c r="GV98" s="128"/>
      <c r="GW98" s="128"/>
      <c r="HJ98" s="48"/>
      <c r="HK98" s="170"/>
      <c r="HM98" s="1" t="s">
        <v>3710</v>
      </c>
      <c r="HN98" s="1">
        <f>IF(HN19=HM98,13,0)</f>
        <v>0</v>
      </c>
      <c r="IB98" s="170"/>
      <c r="IG98" s="1"/>
      <c r="IH98" s="1"/>
      <c r="II98" s="1"/>
      <c r="IJ98" s="1"/>
      <c r="IK98" s="1"/>
      <c r="IL98" s="1"/>
      <c r="IM98" s="1"/>
      <c r="IN98" s="178"/>
      <c r="IO98" s="1"/>
      <c r="IP98" s="108" t="s">
        <v>4051</v>
      </c>
      <c r="IQ98" s="187">
        <f>IQ26</f>
        <v>0</v>
      </c>
      <c r="IR98" s="609" t="s">
        <v>2069</v>
      </c>
      <c r="IS98" s="141">
        <f>IQ27</f>
        <v>0</v>
      </c>
      <c r="IT98" s="1"/>
      <c r="IU98" s="1"/>
      <c r="IV98" s="1"/>
      <c r="IW98" s="1"/>
      <c r="IX98" s="1"/>
      <c r="IY98" s="1"/>
      <c r="IZ98" s="1"/>
      <c r="JA98" s="1"/>
      <c r="JB98" s="1"/>
      <c r="JC98" s="178"/>
      <c r="JD98" s="135"/>
    </row>
    <row r="99" spans="9:264">
      <c r="I99" s="22"/>
      <c r="J99" s="156" t="s">
        <v>309</v>
      </c>
      <c r="K99" s="156" t="s">
        <v>309</v>
      </c>
      <c r="L99" s="22">
        <v>14</v>
      </c>
      <c r="M99" s="22">
        <v>41</v>
      </c>
      <c r="N99" s="22">
        <v>9</v>
      </c>
      <c r="O99" s="22">
        <v>13</v>
      </c>
      <c r="P99" s="22">
        <v>43</v>
      </c>
      <c r="Q99" s="22">
        <v>42</v>
      </c>
      <c r="R99" s="22" t="s">
        <v>310</v>
      </c>
      <c r="S99" s="22" t="s">
        <v>311</v>
      </c>
      <c r="AB99" s="5"/>
      <c r="AI99" s="3"/>
      <c r="AJ99" s="3"/>
      <c r="AK99" s="3"/>
      <c r="AL99" s="3"/>
      <c r="AM99" s="3"/>
      <c r="AN99" s="3"/>
      <c r="AO99" s="3"/>
      <c r="AP99" s="328" t="str">
        <f>BS140</f>
        <v/>
      </c>
      <c r="AQ99" s="329"/>
      <c r="AR99" s="330" t="s">
        <v>2812</v>
      </c>
      <c r="AS99" s="328" t="str">
        <f>CB140</f>
        <v/>
      </c>
      <c r="AT99" s="328"/>
      <c r="AU99" s="329"/>
      <c r="AV99" s="3"/>
      <c r="AW99" s="3"/>
      <c r="AX99" s="3"/>
      <c r="AY99" s="3"/>
      <c r="AZ99" s="3"/>
      <c r="BA99" s="3"/>
      <c r="BB99" s="3"/>
      <c r="BC99" s="3"/>
      <c r="BD99" s="97"/>
      <c r="BN99" s="97"/>
      <c r="BO99" s="166"/>
      <c r="BQ99" s="132"/>
      <c r="BR99" s="244">
        <v>7</v>
      </c>
      <c r="BS99" s="258" t="s">
        <v>3249</v>
      </c>
      <c r="BT99" s="258" t="s">
        <v>3250</v>
      </c>
      <c r="BY99" s="244">
        <f>CZ119</f>
        <v>0</v>
      </c>
      <c r="BZ99" s="1" t="s">
        <v>3193</v>
      </c>
      <c r="CB99" s="65">
        <f>IF(BY99=0,0,1)</f>
        <v>0</v>
      </c>
      <c r="CJ99" s="123"/>
      <c r="CK99" s="38" t="s">
        <v>2855</v>
      </c>
      <c r="CL99" s="129">
        <f>IF(CL98=CM98,0,CL97)</f>
        <v>0</v>
      </c>
      <c r="CM99" s="127"/>
      <c r="CN99" s="38" t="s">
        <v>2855</v>
      </c>
      <c r="CO99" s="129">
        <f>IF(CO98=CP98,0,CO97)</f>
        <v>0</v>
      </c>
      <c r="CP99" s="127"/>
      <c r="CQ99" s="6"/>
      <c r="CR99" s="138"/>
      <c r="CS99" s="38" t="s">
        <v>3074</v>
      </c>
      <c r="CT99" s="127">
        <f>CT86*15</f>
        <v>0</v>
      </c>
      <c r="CW99" s="170"/>
      <c r="CY99" s="108"/>
      <c r="CZ99" s="235"/>
      <c r="DC99" s="182"/>
      <c r="DE99" s="1" t="s">
        <v>2943</v>
      </c>
      <c r="DF99" s="404">
        <f>IF(DF94&lt;60,DF94,0)</f>
        <v>0</v>
      </c>
      <c r="DG99" s="1" t="s">
        <v>2931</v>
      </c>
      <c r="DH99" s="405">
        <f t="shared" si="6"/>
        <v>0</v>
      </c>
      <c r="DI99" s="1" t="s">
        <v>2944</v>
      </c>
      <c r="DJ99" s="170">
        <f>IF(DH99&gt;0,50,0)</f>
        <v>0</v>
      </c>
      <c r="DK99" s="182"/>
      <c r="DM99" s="2"/>
      <c r="DN99" s="37" t="s">
        <v>3370</v>
      </c>
      <c r="DO99" s="37" t="s">
        <v>3370</v>
      </c>
      <c r="DP99" s="37" t="s">
        <v>789</v>
      </c>
      <c r="DQ99" s="37" t="s">
        <v>3371</v>
      </c>
      <c r="DR99" s="37" t="s">
        <v>790</v>
      </c>
      <c r="DS99" s="22"/>
      <c r="DT99" s="6"/>
      <c r="DZ99" s="48"/>
      <c r="ED99" s="3"/>
      <c r="EE99" s="3"/>
      <c r="EF99" s="3"/>
      <c r="EG99" s="3"/>
      <c r="EH99" s="492" t="s">
        <v>3588</v>
      </c>
      <c r="EI99" s="3"/>
      <c r="EJ99" s="3"/>
      <c r="EK99" s="346" t="s">
        <v>4111</v>
      </c>
      <c r="EL99" s="3"/>
      <c r="EM99" s="3"/>
      <c r="EN99" s="3"/>
      <c r="EO99" s="3"/>
      <c r="EP99" s="3"/>
      <c r="EQ99" s="3"/>
      <c r="ER99" s="3"/>
      <c r="FK99" s="135"/>
      <c r="FY99" s="2"/>
      <c r="FZ99" s="37" t="s">
        <v>3365</v>
      </c>
      <c r="GA99" s="37" t="s">
        <v>3365</v>
      </c>
      <c r="GB99" s="37" t="s">
        <v>761</v>
      </c>
      <c r="GC99" s="37" t="s">
        <v>3900</v>
      </c>
      <c r="GD99" s="37" t="s">
        <v>764</v>
      </c>
      <c r="GF99" s="22"/>
      <c r="GL99" s="48"/>
      <c r="GV99" s="128"/>
      <c r="GW99" s="128"/>
      <c r="HJ99" s="48"/>
      <c r="HK99" s="170"/>
      <c r="HM99" s="1" t="s">
        <v>3898</v>
      </c>
      <c r="HN99" s="1">
        <f>IF(HN19=HM99,13,0)</f>
        <v>0</v>
      </c>
      <c r="IB99" s="170"/>
      <c r="IG99" s="1"/>
      <c r="IH99" s="1"/>
      <c r="II99" s="1"/>
      <c r="IJ99" s="1"/>
      <c r="IK99" s="1"/>
      <c r="IL99" s="1"/>
      <c r="IM99" s="1"/>
      <c r="IN99" s="178"/>
      <c r="IO99" s="1"/>
      <c r="IP99" s="1"/>
      <c r="IQ99" s="135" t="str">
        <f>CONCATENATE(IQ98,IR98,IS98)</f>
        <v>0 0</v>
      </c>
      <c r="IR99" s="1"/>
      <c r="IS99" s="1"/>
      <c r="IT99" s="1"/>
      <c r="IU99" s="1"/>
      <c r="IV99" s="1"/>
      <c r="IW99" s="1"/>
      <c r="IX99" s="1"/>
      <c r="IY99" s="1"/>
      <c r="IZ99" s="1"/>
      <c r="JA99" s="1"/>
      <c r="JB99" s="1"/>
      <c r="JC99" s="178"/>
      <c r="JD99" s="135"/>
    </row>
    <row r="100" spans="9:264">
      <c r="I100" s="22"/>
      <c r="J100" s="156" t="s">
        <v>312</v>
      </c>
      <c r="K100" s="156" t="s">
        <v>312</v>
      </c>
      <c r="L100" s="22">
        <v>13</v>
      </c>
      <c r="M100" s="22">
        <v>54</v>
      </c>
      <c r="N100" s="22">
        <v>41</v>
      </c>
      <c r="O100" s="22">
        <v>18</v>
      </c>
      <c r="P100" s="22">
        <v>23</v>
      </c>
      <c r="Q100" s="22">
        <v>52</v>
      </c>
      <c r="R100" s="22" t="s">
        <v>313</v>
      </c>
      <c r="S100" s="22" t="s">
        <v>314</v>
      </c>
      <c r="AB100" s="5"/>
      <c r="AI100" s="52"/>
      <c r="AJ100" s="52"/>
      <c r="AK100" s="52"/>
      <c r="AL100" s="52"/>
      <c r="AM100" s="52"/>
      <c r="AN100" s="52"/>
      <c r="AO100" s="52"/>
      <c r="AP100" s="444" t="str">
        <f>IF(BF24=3,AQ87,"Αδρανής Οθόνη")</f>
        <v>Αδρανής Οθόνη</v>
      </c>
      <c r="AQ100" s="445" t="s">
        <v>2774</v>
      </c>
      <c r="AR100" s="48" t="s">
        <v>3539</v>
      </c>
      <c r="AS100" s="464">
        <v>2000</v>
      </c>
      <c r="AT100" s="446" t="s">
        <v>2775</v>
      </c>
      <c r="AU100" s="4"/>
      <c r="AV100" s="52"/>
      <c r="AW100" s="52"/>
      <c r="AX100" s="52"/>
      <c r="AY100" s="53"/>
      <c r="AZ100" s="5"/>
      <c r="BA100" s="5"/>
      <c r="BB100" s="5"/>
      <c r="BC100" s="5"/>
      <c r="BD100" s="97"/>
      <c r="BN100" s="97"/>
      <c r="BO100" s="166"/>
      <c r="BQ100" s="132"/>
      <c r="BR100" s="244">
        <v>8</v>
      </c>
      <c r="BS100" s="258" t="s">
        <v>3263</v>
      </c>
      <c r="BT100" s="258" t="s">
        <v>3264</v>
      </c>
      <c r="BX100" s="200" t="s">
        <v>3096</v>
      </c>
      <c r="BY100" s="200">
        <f>BY92+BY93+BY94+BY95+BY96+BY97+BY98+BY99</f>
        <v>0</v>
      </c>
      <c r="CA100" s="1" t="s">
        <v>3139</v>
      </c>
      <c r="CB100" s="1">
        <f>CB92+CB93+CB94+CB95+CB96+CB97+CB98+CB99</f>
        <v>0</v>
      </c>
      <c r="CJ100" s="123"/>
      <c r="CK100" s="130" t="s">
        <v>3025</v>
      </c>
      <c r="CL100" s="131">
        <f>IF(CL98=CM98,1,0)</f>
        <v>1</v>
      </c>
      <c r="CM100" s="127"/>
      <c r="CN100" s="130" t="s">
        <v>3025</v>
      </c>
      <c r="CO100" s="131">
        <f>IF(CO98=CP98,1,0)</f>
        <v>1</v>
      </c>
      <c r="CP100" s="127"/>
      <c r="CQ100" s="6"/>
      <c r="CR100" s="138"/>
      <c r="CS100" s="38" t="s">
        <v>3075</v>
      </c>
      <c r="CT100" s="225">
        <f>SIN(RADIANS(CT99))</f>
        <v>0</v>
      </c>
      <c r="CW100" s="170"/>
      <c r="CY100" s="273" t="s">
        <v>3251</v>
      </c>
      <c r="CZ100" s="235">
        <f>CL72</f>
        <v>0</v>
      </c>
      <c r="DC100" s="182"/>
      <c r="DE100" s="1" t="s">
        <v>2945</v>
      </c>
      <c r="DF100" s="404">
        <f>IF(DF94&lt;50,DF94,0)</f>
        <v>0</v>
      </c>
      <c r="DG100" s="1" t="s">
        <v>2931</v>
      </c>
      <c r="DH100" s="405">
        <f t="shared" si="6"/>
        <v>0</v>
      </c>
      <c r="DI100" s="1" t="s">
        <v>2946</v>
      </c>
      <c r="DJ100" s="170">
        <f>IF(DH100&gt;0,40,0)</f>
        <v>0</v>
      </c>
      <c r="DK100" s="182"/>
      <c r="DM100" s="2"/>
      <c r="DN100" s="37" t="s">
        <v>3372</v>
      </c>
      <c r="DO100" s="37" t="s">
        <v>3372</v>
      </c>
      <c r="DP100" s="37" t="s">
        <v>789</v>
      </c>
      <c r="DQ100" s="37" t="s">
        <v>3371</v>
      </c>
      <c r="DR100" s="37" t="s">
        <v>790</v>
      </c>
      <c r="DS100" s="22"/>
      <c r="DT100" s="6"/>
      <c r="DZ100" s="48"/>
      <c r="ED100" s="3"/>
      <c r="EE100" s="3"/>
      <c r="EF100" s="3"/>
      <c r="EG100" s="3" t="s">
        <v>2069</v>
      </c>
      <c r="EH100" s="492" t="s">
        <v>3590</v>
      </c>
      <c r="EI100" s="3"/>
      <c r="EJ100" s="488" t="str">
        <f>FP56</f>
        <v/>
      </c>
      <c r="EK100" s="3"/>
      <c r="EL100" s="3"/>
      <c r="EM100" s="3"/>
      <c r="EN100" s="3"/>
      <c r="EO100" s="3"/>
      <c r="EP100" s="3"/>
      <c r="EQ100" s="3"/>
      <c r="ER100" s="3"/>
      <c r="FK100" s="135"/>
      <c r="FY100" s="2"/>
      <c r="FZ100" s="37" t="s">
        <v>761</v>
      </c>
      <c r="GA100" s="37" t="s">
        <v>761</v>
      </c>
      <c r="GB100" s="37" t="s">
        <v>761</v>
      </c>
      <c r="GC100" s="37" t="s">
        <v>3900</v>
      </c>
      <c r="GD100" s="37" t="s">
        <v>764</v>
      </c>
      <c r="GF100" s="22"/>
      <c r="GL100" s="48"/>
      <c r="GV100" s="128"/>
      <c r="GW100" s="128"/>
      <c r="HJ100" s="48"/>
      <c r="HK100" s="170"/>
      <c r="HM100" s="1" t="s">
        <v>3901</v>
      </c>
      <c r="HN100" s="1">
        <f>IF(HN19=HM100,13,0)</f>
        <v>0</v>
      </c>
      <c r="IB100" s="170"/>
      <c r="IG100" s="1"/>
      <c r="IH100" s="1"/>
      <c r="II100" s="1"/>
      <c r="IJ100" s="1"/>
      <c r="IK100" s="1"/>
      <c r="IL100" s="1"/>
      <c r="IM100" s="1"/>
      <c r="IN100" s="178"/>
      <c r="IO100" s="1"/>
      <c r="IP100" s="1"/>
      <c r="IQ100" s="1"/>
      <c r="IR100" s="1"/>
      <c r="IS100" s="1"/>
      <c r="IT100" s="1"/>
      <c r="IU100" s="1"/>
      <c r="IV100" s="1"/>
      <c r="IW100" s="1"/>
      <c r="IX100" s="1"/>
      <c r="IY100" s="1"/>
      <c r="IZ100" s="1"/>
      <c r="JA100" s="1"/>
      <c r="JB100" s="1"/>
      <c r="JC100" s="178"/>
      <c r="JD100" s="135"/>
    </row>
    <row r="101" spans="9:264">
      <c r="I101" s="22"/>
      <c r="J101" s="156" t="s">
        <v>315</v>
      </c>
      <c r="K101" s="156" t="s">
        <v>315</v>
      </c>
      <c r="L101" s="22">
        <v>14</v>
      </c>
      <c r="M101" s="22">
        <v>25</v>
      </c>
      <c r="N101" s="22">
        <v>11.8</v>
      </c>
      <c r="O101" s="22">
        <v>51</v>
      </c>
      <c r="P101" s="22">
        <v>51</v>
      </c>
      <c r="Q101" s="22">
        <v>3</v>
      </c>
      <c r="R101" s="22" t="s">
        <v>316</v>
      </c>
      <c r="S101" s="22" t="s">
        <v>317</v>
      </c>
      <c r="AB101" s="5"/>
      <c r="AI101" s="5"/>
      <c r="AJ101" s="5"/>
      <c r="AK101" s="5"/>
      <c r="AL101" s="5"/>
      <c r="AM101" s="5"/>
      <c r="AN101" s="5"/>
      <c r="AO101" s="5"/>
      <c r="AP101" s="121" t="s">
        <v>3543</v>
      </c>
      <c r="AQ101" s="4"/>
      <c r="AR101" s="121" t="s">
        <v>2776</v>
      </c>
      <c r="AS101" s="4" t="s">
        <v>2069</v>
      </c>
      <c r="AT101" s="121" t="s">
        <v>3528</v>
      </c>
      <c r="AU101" s="4"/>
      <c r="AV101" s="5"/>
      <c r="AW101" s="5"/>
      <c r="AX101" s="5"/>
      <c r="AY101" s="54"/>
      <c r="AZ101" s="5"/>
      <c r="BA101" s="5"/>
      <c r="BB101" s="5"/>
      <c r="BC101" s="5"/>
      <c r="BD101" s="97"/>
      <c r="BN101" s="97"/>
      <c r="BO101" s="166"/>
      <c r="BQ101" s="132"/>
      <c r="BR101" s="244">
        <v>1000</v>
      </c>
      <c r="BS101" s="258" t="s">
        <v>3120</v>
      </c>
      <c r="BT101" s="65" t="s">
        <v>3131</v>
      </c>
      <c r="CJ101" s="123"/>
      <c r="CK101" s="38" t="s">
        <v>2856</v>
      </c>
      <c r="CL101" s="131">
        <f>CL100+CL95+CL90</f>
        <v>3</v>
      </c>
      <c r="CM101" s="127"/>
      <c r="CN101" s="38" t="s">
        <v>2856</v>
      </c>
      <c r="CO101" s="131">
        <f>CO100+CO95+CO90</f>
        <v>3</v>
      </c>
      <c r="CP101" s="127"/>
      <c r="CQ101" s="6"/>
      <c r="CR101" s="138"/>
      <c r="CS101" s="38" t="s">
        <v>3076</v>
      </c>
      <c r="CT101" s="127">
        <f>CT96*15</f>
        <v>0</v>
      </c>
      <c r="CW101" s="170"/>
      <c r="CY101" s="273" t="s">
        <v>3252</v>
      </c>
      <c r="CZ101" s="235">
        <f>CO70</f>
        <v>0</v>
      </c>
      <c r="DC101" s="182"/>
      <c r="DE101" s="1" t="s">
        <v>2947</v>
      </c>
      <c r="DF101" s="404">
        <f>IF(DF94&lt;40,DF94,0)</f>
        <v>0</v>
      </c>
      <c r="DG101" s="1" t="s">
        <v>2931</v>
      </c>
      <c r="DH101" s="405">
        <f t="shared" si="6"/>
        <v>0</v>
      </c>
      <c r="DI101" s="1" t="s">
        <v>2948</v>
      </c>
      <c r="DJ101" s="170">
        <f>IF(DH101&gt;0,30,0)</f>
        <v>0</v>
      </c>
      <c r="DK101" s="182"/>
      <c r="DM101" s="2"/>
      <c r="DN101" s="37" t="s">
        <v>3373</v>
      </c>
      <c r="DO101" s="37" t="s">
        <v>3373</v>
      </c>
      <c r="DP101" s="37" t="s">
        <v>789</v>
      </c>
      <c r="DQ101" s="37" t="s">
        <v>3371</v>
      </c>
      <c r="DR101" s="37" t="s">
        <v>790</v>
      </c>
      <c r="DS101" s="22"/>
      <c r="DT101" s="6"/>
      <c r="DZ101" s="48"/>
      <c r="ED101" s="3"/>
      <c r="EE101" s="3"/>
      <c r="EF101" s="3"/>
      <c r="EG101" s="3"/>
      <c r="EH101" s="329"/>
      <c r="EI101" s="512"/>
      <c r="EJ101" s="577" t="str">
        <f>FP58</f>
        <v/>
      </c>
      <c r="EK101" s="556" t="str">
        <f>FQ58</f>
        <v/>
      </c>
      <c r="EL101" s="505"/>
      <c r="EM101" s="505"/>
      <c r="EN101" s="551" t="str">
        <f>FS58</f>
        <v/>
      </c>
      <c r="EO101" s="505"/>
      <c r="EP101" s="3"/>
      <c r="EQ101" s="3"/>
      <c r="ER101" s="3"/>
      <c r="FK101" s="135"/>
      <c r="FY101" s="2"/>
      <c r="FZ101" s="37" t="s">
        <v>3367</v>
      </c>
      <c r="GA101" s="37" t="s">
        <v>3367</v>
      </c>
      <c r="GB101" s="37" t="s">
        <v>766</v>
      </c>
      <c r="GC101" s="37" t="s">
        <v>3905</v>
      </c>
      <c r="GD101" s="37" t="s">
        <v>769</v>
      </c>
      <c r="GF101" s="22"/>
      <c r="GL101" s="48"/>
      <c r="GV101" s="128"/>
      <c r="GW101" s="128"/>
      <c r="HJ101" s="48"/>
      <c r="HK101" s="170"/>
      <c r="HM101" s="1" t="s">
        <v>3903</v>
      </c>
      <c r="HN101" s="1">
        <f>IF(HN19=HM101,13,0)</f>
        <v>0</v>
      </c>
      <c r="IB101" s="170"/>
      <c r="IG101" s="1"/>
      <c r="IH101" s="1"/>
      <c r="II101" s="1"/>
      <c r="IJ101" s="1"/>
      <c r="IK101" s="1"/>
      <c r="IL101" s="1"/>
      <c r="IM101" s="1"/>
      <c r="IN101" s="178"/>
      <c r="IO101" s="1"/>
      <c r="IP101" s="559" t="s">
        <v>3893</v>
      </c>
      <c r="IQ101" s="1"/>
      <c r="IR101" s="1"/>
      <c r="IS101" s="1"/>
      <c r="IT101" s="1"/>
      <c r="IU101" s="1"/>
      <c r="IV101" s="1"/>
      <c r="IW101" s="1"/>
      <c r="IX101" s="1"/>
      <c r="IY101" s="1"/>
      <c r="IZ101" s="1"/>
      <c r="JA101" s="1"/>
      <c r="JB101" s="1"/>
      <c r="JC101" s="178"/>
      <c r="JD101" s="135"/>
    </row>
    <row r="102" spans="9:264">
      <c r="I102" s="22"/>
      <c r="J102" s="156" t="s">
        <v>318</v>
      </c>
      <c r="K102" s="156" t="s">
        <v>318</v>
      </c>
      <c r="L102" s="22">
        <v>14</v>
      </c>
      <c r="M102" s="22">
        <v>13</v>
      </c>
      <c r="N102" s="22">
        <v>29</v>
      </c>
      <c r="O102" s="22">
        <v>51</v>
      </c>
      <c r="P102" s="22">
        <v>47</v>
      </c>
      <c r="Q102" s="22">
        <v>24</v>
      </c>
      <c r="R102" s="22" t="s">
        <v>319</v>
      </c>
      <c r="S102" s="22" t="s">
        <v>320</v>
      </c>
      <c r="AB102" s="5"/>
      <c r="AI102" s="5"/>
      <c r="AJ102" s="5"/>
      <c r="AK102" s="5"/>
      <c r="AL102" s="5"/>
      <c r="AM102" s="5"/>
      <c r="AN102" s="5"/>
      <c r="AO102" s="5"/>
      <c r="AP102" s="4" t="s">
        <v>3545</v>
      </c>
      <c r="AQ102" s="447" t="str">
        <f>BQ119</f>
        <v/>
      </c>
      <c r="AR102" s="448" t="s">
        <v>2778</v>
      </c>
      <c r="AS102" s="449" t="str">
        <f>BS125</f>
        <v/>
      </c>
      <c r="AT102" s="4" t="s">
        <v>2779</v>
      </c>
      <c r="AU102" s="450" t="str">
        <f>BZ119</f>
        <v/>
      </c>
      <c r="AV102" s="5"/>
      <c r="AW102" s="5"/>
      <c r="AX102" s="5"/>
      <c r="AY102" s="54"/>
      <c r="AZ102" s="5"/>
      <c r="BA102" s="5"/>
      <c r="BB102" s="5"/>
      <c r="BC102" s="5"/>
      <c r="BD102" s="97"/>
      <c r="BN102" s="97"/>
      <c r="BO102" s="166"/>
      <c r="BQ102" s="132"/>
      <c r="BR102" s="132"/>
      <c r="BS102" s="271"/>
      <c r="BT102" s="128"/>
      <c r="CJ102" s="123"/>
      <c r="CK102" s="38" t="s">
        <v>3026</v>
      </c>
      <c r="CL102" s="207" t="str">
        <f>IF(CL101&gt;0,"Μη αναγνωρίσιμοι χαρακτήρες ","")</f>
        <v xml:space="preserve">Μη αναγνωρίσιμοι χαρακτήρες </v>
      </c>
      <c r="CM102" s="127"/>
      <c r="CN102" s="38" t="s">
        <v>3026</v>
      </c>
      <c r="CO102" s="207" t="str">
        <f>IF(CO101&gt;0,"Μη αναγνωρίσιμοι χαρακτήρες ","")</f>
        <v xml:space="preserve">Μη αναγνωρίσιμοι χαρακτήρες </v>
      </c>
      <c r="CP102" s="127"/>
      <c r="CQ102" s="6"/>
      <c r="CR102" s="138"/>
      <c r="CS102" s="38" t="s">
        <v>3075</v>
      </c>
      <c r="CT102" s="225">
        <f>SIN(RADIANS(CT101))</f>
        <v>0</v>
      </c>
      <c r="CW102" s="170"/>
      <c r="CY102" s="273" t="s">
        <v>3253</v>
      </c>
      <c r="CZ102" s="235">
        <f>CO138</f>
        <v>0</v>
      </c>
      <c r="DC102" s="182"/>
      <c r="DE102" s="1" t="s">
        <v>2949</v>
      </c>
      <c r="DF102" s="404">
        <f>IF(DF94&lt;30,DF94,0)</f>
        <v>0</v>
      </c>
      <c r="DG102" s="1" t="s">
        <v>2931</v>
      </c>
      <c r="DH102" s="405">
        <f t="shared" si="6"/>
        <v>0</v>
      </c>
      <c r="DI102" s="1" t="s">
        <v>2950</v>
      </c>
      <c r="DJ102" s="170">
        <f>IF(DH102&gt;0,20,0)</f>
        <v>0</v>
      </c>
      <c r="DK102" s="182"/>
      <c r="DM102" s="2"/>
      <c r="DN102" s="37" t="s">
        <v>789</v>
      </c>
      <c r="DO102" s="37" t="s">
        <v>789</v>
      </c>
      <c r="DP102" s="37" t="s">
        <v>789</v>
      </c>
      <c r="DQ102" s="37" t="s">
        <v>3371</v>
      </c>
      <c r="DR102" s="37" t="s">
        <v>790</v>
      </c>
      <c r="DS102" s="22"/>
      <c r="DT102" s="6"/>
      <c r="DZ102" s="48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FK102" s="135"/>
      <c r="FY102" s="2"/>
      <c r="FZ102" s="37" t="s">
        <v>766</v>
      </c>
      <c r="GA102" s="37" t="s">
        <v>766</v>
      </c>
      <c r="GB102" s="37" t="s">
        <v>766</v>
      </c>
      <c r="GC102" s="37" t="s">
        <v>3905</v>
      </c>
      <c r="GD102" s="37" t="s">
        <v>769</v>
      </c>
      <c r="GF102" s="22"/>
      <c r="GL102" s="48"/>
      <c r="GV102" s="128"/>
      <c r="GW102" s="128"/>
      <c r="HJ102" s="48"/>
      <c r="HK102" s="170"/>
      <c r="HM102" s="1" t="s">
        <v>3688</v>
      </c>
      <c r="HN102" s="170">
        <f>HN98+HN99+HN100+HN101</f>
        <v>0</v>
      </c>
      <c r="IB102" s="170"/>
      <c r="IG102" s="1"/>
      <c r="IH102" s="1"/>
      <c r="II102" s="1"/>
      <c r="IJ102" s="1"/>
      <c r="IK102" s="1"/>
      <c r="IL102" s="1"/>
      <c r="IM102" s="1"/>
      <c r="IN102" s="178"/>
      <c r="IO102" s="1"/>
      <c r="IP102" s="1" t="s">
        <v>3894</v>
      </c>
      <c r="IQ102" s="419">
        <f>IF(IQ29=2,IQ26,"")</f>
        <v>0</v>
      </c>
      <c r="IR102" s="1"/>
      <c r="IS102" s="1"/>
      <c r="IT102" s="1"/>
      <c r="IU102" s="1"/>
      <c r="IV102" s="1"/>
      <c r="IW102" s="1"/>
      <c r="IX102" s="1"/>
      <c r="IY102" s="1"/>
      <c r="IZ102" s="1"/>
      <c r="JA102" s="1"/>
      <c r="JB102" s="1"/>
      <c r="JC102" s="178"/>
      <c r="JD102" s="135"/>
    </row>
    <row r="103" spans="9:264" ht="18.75">
      <c r="I103" s="22"/>
      <c r="J103" s="156" t="s">
        <v>321</v>
      </c>
      <c r="K103" s="156" t="s">
        <v>321</v>
      </c>
      <c r="L103" s="22">
        <v>15</v>
      </c>
      <c r="M103" s="22">
        <v>24</v>
      </c>
      <c r="N103" s="22">
        <v>29.4</v>
      </c>
      <c r="O103" s="22">
        <v>37</v>
      </c>
      <c r="P103" s="22">
        <v>22</v>
      </c>
      <c r="Q103" s="22">
        <v>38</v>
      </c>
      <c r="R103" s="22" t="s">
        <v>322</v>
      </c>
      <c r="S103" s="22" t="s">
        <v>323</v>
      </c>
      <c r="AB103" s="5"/>
      <c r="AI103" s="5"/>
      <c r="AJ103" s="5"/>
      <c r="AK103" s="5"/>
      <c r="AL103" s="5"/>
      <c r="AM103" s="5"/>
      <c r="AN103" s="5"/>
      <c r="AO103" s="5"/>
      <c r="AP103" s="4" t="s">
        <v>3544</v>
      </c>
      <c r="AQ103" s="450" t="str">
        <f ca="1">BR119</f>
        <v/>
      </c>
      <c r="AR103" s="451" t="str">
        <f>BS127</f>
        <v/>
      </c>
      <c r="AS103" s="116"/>
      <c r="AT103" s="4" t="s">
        <v>2780</v>
      </c>
      <c r="AU103" s="450" t="str">
        <f>CA119</f>
        <v/>
      </c>
      <c r="AV103" s="5"/>
      <c r="AW103" s="5"/>
      <c r="AX103" s="5"/>
      <c r="AY103" s="54"/>
      <c r="AZ103" s="5"/>
      <c r="BA103" s="5"/>
      <c r="BB103" s="5"/>
      <c r="BC103" s="5"/>
      <c r="BD103" s="97"/>
      <c r="BN103" s="97"/>
      <c r="BO103" s="166"/>
      <c r="BQ103" s="132"/>
      <c r="BR103" s="132"/>
      <c r="BS103" s="271"/>
      <c r="BT103" s="128"/>
      <c r="BY103" s="1" t="s">
        <v>3126</v>
      </c>
      <c r="CB103" s="106">
        <f>IF(CB100&gt;1,1000,BY100)</f>
        <v>0</v>
      </c>
      <c r="CJ103" s="123"/>
      <c r="CK103" s="38"/>
      <c r="CL103" s="6"/>
      <c r="CM103" s="127"/>
      <c r="CN103" s="38"/>
      <c r="CO103" s="6"/>
      <c r="CP103" s="127"/>
      <c r="CQ103" s="6"/>
      <c r="CR103" s="138"/>
      <c r="CS103" s="38" t="s">
        <v>3077</v>
      </c>
      <c r="CT103" s="127">
        <f>CT102-CT100</f>
        <v>0</v>
      </c>
      <c r="CW103" s="170"/>
      <c r="CY103" s="273" t="s">
        <v>3254</v>
      </c>
      <c r="CZ103" s="235">
        <f>CL140</f>
        <v>0</v>
      </c>
      <c r="DC103" s="182"/>
      <c r="DE103" s="1" t="s">
        <v>2951</v>
      </c>
      <c r="DF103" s="404">
        <f>IF(DF94&lt;20,DF94,0)</f>
        <v>0</v>
      </c>
      <c r="DG103" s="1" t="s">
        <v>2931</v>
      </c>
      <c r="DH103" s="405">
        <f t="shared" si="6"/>
        <v>0</v>
      </c>
      <c r="DI103" s="1" t="s">
        <v>2952</v>
      </c>
      <c r="DJ103" s="170">
        <f>IF(DH103&gt;0,10,0)</f>
        <v>0</v>
      </c>
      <c r="DK103" s="182"/>
      <c r="DM103" s="2"/>
      <c r="DN103" s="37" t="s">
        <v>3374</v>
      </c>
      <c r="DO103" s="37" t="s">
        <v>3374</v>
      </c>
      <c r="DP103" s="37" t="s">
        <v>821</v>
      </c>
      <c r="DQ103" s="37" t="s">
        <v>3375</v>
      </c>
      <c r="DR103" s="37" t="s">
        <v>822</v>
      </c>
      <c r="DS103" s="22"/>
      <c r="DT103" s="6"/>
      <c r="DZ103" s="48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FK103" s="135"/>
      <c r="FY103" s="2"/>
      <c r="FZ103" s="37" t="s">
        <v>3370</v>
      </c>
      <c r="GA103" s="37" t="s">
        <v>3370</v>
      </c>
      <c r="GB103" s="37" t="s">
        <v>789</v>
      </c>
      <c r="GC103" s="37" t="s">
        <v>3907</v>
      </c>
      <c r="GD103" s="37" t="s">
        <v>3701</v>
      </c>
      <c r="GF103" s="22"/>
      <c r="GL103" s="48"/>
      <c r="GV103" s="128"/>
      <c r="GW103" s="128"/>
      <c r="HJ103" s="48"/>
      <c r="HK103" s="170"/>
      <c r="HM103" s="191">
        <v>14</v>
      </c>
      <c r="IB103" s="170"/>
      <c r="IG103" s="1"/>
      <c r="IH103" s="1"/>
      <c r="II103" s="1"/>
      <c r="IJ103" s="1"/>
      <c r="IK103" s="1"/>
      <c r="IL103" s="1"/>
      <c r="IM103" s="1"/>
      <c r="IN103" s="178"/>
      <c r="IO103" s="1"/>
      <c r="IP103" s="409" t="s">
        <v>3896</v>
      </c>
      <c r="IQ103" s="537">
        <f>IF(IQ102="Μ",1,0)</f>
        <v>0</v>
      </c>
      <c r="IR103" s="1"/>
      <c r="IS103" s="1"/>
      <c r="IT103" s="1" t="s">
        <v>3767</v>
      </c>
      <c r="IU103" s="1"/>
      <c r="IV103" s="1"/>
      <c r="IW103" s="1"/>
      <c r="IX103" s="1"/>
      <c r="IY103" s="1"/>
      <c r="IZ103" s="1"/>
      <c r="JA103" s="1"/>
      <c r="JB103" s="1"/>
      <c r="JC103" s="178"/>
      <c r="JD103" s="135"/>
    </row>
    <row r="104" spans="9:264" ht="20.25">
      <c r="I104" s="22"/>
      <c r="J104" s="156" t="s">
        <v>324</v>
      </c>
      <c r="K104" s="156" t="s">
        <v>324</v>
      </c>
      <c r="L104" s="22">
        <v>14</v>
      </c>
      <c r="M104" s="22">
        <v>51</v>
      </c>
      <c r="N104" s="22">
        <v>23.4</v>
      </c>
      <c r="O104" s="22">
        <v>19</v>
      </c>
      <c r="P104" s="22">
        <v>6</v>
      </c>
      <c r="Q104" s="22">
        <v>2</v>
      </c>
      <c r="R104" s="22" t="s">
        <v>325</v>
      </c>
      <c r="S104" s="22" t="s">
        <v>326</v>
      </c>
      <c r="AB104" s="5"/>
      <c r="AI104" s="5"/>
      <c r="AJ104" s="5"/>
      <c r="AK104" s="5"/>
      <c r="AL104" s="5"/>
      <c r="AM104" s="5"/>
      <c r="AN104" s="5"/>
      <c r="AO104" s="5"/>
      <c r="AP104" s="4" t="s">
        <v>3573</v>
      </c>
      <c r="AQ104" s="452" t="str">
        <f>BS119</f>
        <v/>
      </c>
      <c r="AR104" s="453" t="s">
        <v>2781</v>
      </c>
      <c r="AS104" s="454" t="str">
        <f>BS126</f>
        <v/>
      </c>
      <c r="AT104" s="4" t="s">
        <v>2782</v>
      </c>
      <c r="AU104" s="452" t="str">
        <f>CB119</f>
        <v/>
      </c>
      <c r="AV104" s="5"/>
      <c r="AW104" s="5"/>
      <c r="AX104" s="5"/>
      <c r="AY104" s="54"/>
      <c r="AZ104" s="5"/>
      <c r="BA104" s="5"/>
      <c r="BB104" s="5"/>
      <c r="BC104" s="5"/>
      <c r="BD104" s="97"/>
      <c r="BN104" s="97"/>
      <c r="BO104" s="166"/>
      <c r="BQ104" s="132"/>
      <c r="BR104" s="132"/>
      <c r="BS104" s="271"/>
      <c r="BT104" s="128"/>
      <c r="CJ104" s="123"/>
      <c r="CK104" s="133" t="s">
        <v>3027</v>
      </c>
      <c r="CL104" s="128"/>
      <c r="CM104" s="127"/>
      <c r="CN104" s="133" t="s">
        <v>3027</v>
      </c>
      <c r="CO104" s="128"/>
      <c r="CP104" s="127"/>
      <c r="CQ104" s="6"/>
      <c r="CR104" s="138"/>
      <c r="CS104" s="38" t="s">
        <v>3078</v>
      </c>
      <c r="CT104" s="127">
        <f>SIN(RADIANS(23.45))</f>
        <v>0.39794863130761038</v>
      </c>
      <c r="CW104" s="170"/>
      <c r="CY104" s="1" t="s">
        <v>3255</v>
      </c>
      <c r="CZ104" s="296">
        <f>CZ100+CZ101+CZ102+CZ103</f>
        <v>0</v>
      </c>
      <c r="DC104" s="182"/>
      <c r="DE104" s="1" t="s">
        <v>2953</v>
      </c>
      <c r="DF104" s="404">
        <f>IF(DF94&lt;10,DF94,0)</f>
        <v>0</v>
      </c>
      <c r="DG104" s="1" t="s">
        <v>2932</v>
      </c>
      <c r="DH104" s="405">
        <f>DH95+DH96+DH97+DH98+DH99+DH100+DH101+DH102+DH103</f>
        <v>0</v>
      </c>
      <c r="DI104" s="1" t="s">
        <v>2932</v>
      </c>
      <c r="DJ104" s="170">
        <f>DJ95+DJ96+DJ97+DJ98+DJ99+DJ100+DJ101+DJ102+DJ103</f>
        <v>0</v>
      </c>
      <c r="DK104" s="182"/>
      <c r="DM104" s="2"/>
      <c r="DN104" s="37" t="s">
        <v>821</v>
      </c>
      <c r="DO104" s="37" t="s">
        <v>821</v>
      </c>
      <c r="DP104" s="37" t="s">
        <v>821</v>
      </c>
      <c r="DQ104" s="37" t="s">
        <v>3375</v>
      </c>
      <c r="DR104" s="37" t="s">
        <v>822</v>
      </c>
      <c r="DS104" s="22"/>
      <c r="DT104" s="6"/>
      <c r="DZ104" s="48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FK104" s="135"/>
      <c r="FY104" s="2"/>
      <c r="FZ104" s="37" t="s">
        <v>3372</v>
      </c>
      <c r="GA104" s="37" t="s">
        <v>3372</v>
      </c>
      <c r="GB104" s="37" t="s">
        <v>789</v>
      </c>
      <c r="GC104" s="37" t="s">
        <v>3909</v>
      </c>
      <c r="GD104" s="37" t="s">
        <v>3701</v>
      </c>
      <c r="GF104" s="22"/>
      <c r="GL104" s="48"/>
      <c r="GV104" s="128"/>
      <c r="GW104" s="128"/>
      <c r="HJ104" s="48"/>
      <c r="HK104" s="170"/>
      <c r="HM104" s="1" t="s">
        <v>3908</v>
      </c>
      <c r="IB104" s="170"/>
      <c r="IG104" s="1"/>
      <c r="IH104" s="1"/>
      <c r="II104" s="1"/>
      <c r="IJ104" s="1"/>
      <c r="IK104" s="1"/>
      <c r="IL104" s="1"/>
      <c r="IM104" s="1"/>
      <c r="IN104" s="178"/>
      <c r="IO104" s="1"/>
      <c r="IP104" s="409" t="s">
        <v>3897</v>
      </c>
      <c r="IQ104" s="537">
        <f>IF(IQ102="M",1,0)</f>
        <v>0</v>
      </c>
      <c r="IR104" s="1"/>
      <c r="IS104" s="1"/>
      <c r="IT104" s="1"/>
      <c r="IU104" s="1"/>
      <c r="IV104" s="1"/>
      <c r="IW104" s="1"/>
      <c r="IX104" s="1"/>
      <c r="IY104" s="1"/>
      <c r="IZ104" s="1"/>
      <c r="JA104" s="1"/>
      <c r="JB104" s="1"/>
      <c r="JC104" s="178"/>
      <c r="JD104" s="135"/>
    </row>
    <row r="105" spans="9:264">
      <c r="I105" s="22"/>
      <c r="J105" s="156" t="s">
        <v>327</v>
      </c>
      <c r="K105" s="156" t="s">
        <v>327</v>
      </c>
      <c r="L105" s="22">
        <v>14</v>
      </c>
      <c r="M105" s="22">
        <v>40</v>
      </c>
      <c r="N105" s="22">
        <v>43.6</v>
      </c>
      <c r="O105" s="22">
        <v>16</v>
      </c>
      <c r="P105" s="22">
        <v>25</v>
      </c>
      <c r="Q105" s="22">
        <v>6</v>
      </c>
      <c r="R105" s="22" t="s">
        <v>328</v>
      </c>
      <c r="S105" s="22" t="s">
        <v>329</v>
      </c>
      <c r="AB105" s="5"/>
      <c r="AI105" s="5"/>
      <c r="AJ105" s="5"/>
      <c r="AK105" s="5"/>
      <c r="AL105" s="5"/>
      <c r="AM105" s="5"/>
      <c r="AN105" s="5"/>
      <c r="AO105" s="5"/>
      <c r="AP105" s="4" t="s">
        <v>3572</v>
      </c>
      <c r="AQ105" s="455" t="str">
        <f>BT119</f>
        <v/>
      </c>
      <c r="AR105" s="4"/>
      <c r="AS105" s="4"/>
      <c r="AT105" s="4" t="s">
        <v>2783</v>
      </c>
      <c r="AU105" s="455" t="str">
        <f>CC119</f>
        <v/>
      </c>
      <c r="AV105" s="5"/>
      <c r="AW105" s="5"/>
      <c r="AX105" s="5"/>
      <c r="AY105" s="54"/>
      <c r="AZ105" s="5"/>
      <c r="BA105" s="5"/>
      <c r="BB105" s="5"/>
      <c r="BC105" s="5"/>
      <c r="BD105" s="97"/>
      <c r="BN105" s="97"/>
      <c r="BO105" s="166"/>
      <c r="BQ105" s="132"/>
      <c r="BR105" s="132"/>
      <c r="BS105" s="271"/>
      <c r="BT105" s="128"/>
      <c r="CJ105" s="123"/>
      <c r="CK105" s="38" t="s">
        <v>3028</v>
      </c>
      <c r="CL105" s="128"/>
      <c r="CM105" s="127"/>
      <c r="CN105" s="38" t="s">
        <v>3028</v>
      </c>
      <c r="CO105" s="128"/>
      <c r="CP105" s="127"/>
      <c r="CQ105" s="6"/>
      <c r="CR105" s="138"/>
      <c r="CS105" s="38" t="s">
        <v>3079</v>
      </c>
      <c r="CT105" s="127">
        <f>CT104*CT103</f>
        <v>0</v>
      </c>
      <c r="CW105" s="170"/>
      <c r="CY105" s="196" t="s">
        <v>2872</v>
      </c>
      <c r="CZ105" s="236"/>
      <c r="DC105" s="182"/>
      <c r="DG105" s="1" t="s">
        <v>2934</v>
      </c>
      <c r="DH105" s="406">
        <f>DH104-DJ104</f>
        <v>0</v>
      </c>
      <c r="DK105" s="182"/>
      <c r="DM105" s="2"/>
      <c r="DN105" s="37" t="s">
        <v>3376</v>
      </c>
      <c r="DO105" s="37" t="s">
        <v>3376</v>
      </c>
      <c r="DP105" s="37" t="s">
        <v>832</v>
      </c>
      <c r="DQ105" s="37" t="s">
        <v>3377</v>
      </c>
      <c r="DR105" s="37" t="s">
        <v>833</v>
      </c>
      <c r="DS105" s="22"/>
      <c r="DT105" s="6"/>
      <c r="DZ105" s="48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FK105" s="135"/>
      <c r="FY105" s="2"/>
      <c r="FZ105" s="37" t="s">
        <v>3373</v>
      </c>
      <c r="GA105" s="37" t="s">
        <v>3373</v>
      </c>
      <c r="GB105" s="37" t="s">
        <v>789</v>
      </c>
      <c r="GC105" s="37" t="s">
        <v>3909</v>
      </c>
      <c r="GD105" s="37" t="s">
        <v>3701</v>
      </c>
      <c r="GF105" s="22"/>
      <c r="GL105" s="48"/>
      <c r="GV105" s="128"/>
      <c r="GW105" s="128"/>
      <c r="HJ105" s="48"/>
      <c r="HK105" s="170"/>
      <c r="HM105" s="1" t="s">
        <v>3715</v>
      </c>
      <c r="HN105" s="1">
        <f>IF(HN19=HM105,14,0)</f>
        <v>0</v>
      </c>
      <c r="IB105" s="170"/>
      <c r="IG105" s="1"/>
      <c r="IH105" s="1"/>
      <c r="II105" s="1"/>
      <c r="IJ105" s="1"/>
      <c r="IK105" s="1"/>
      <c r="IL105" s="1"/>
      <c r="IM105" s="1"/>
      <c r="IN105" s="178"/>
      <c r="IO105" s="1"/>
      <c r="IP105" s="409" t="s">
        <v>3899</v>
      </c>
      <c r="IQ105" s="537">
        <f>IF(IQ102="νγκ",2,0)</f>
        <v>0</v>
      </c>
      <c r="IR105" s="1"/>
      <c r="IS105" s="1"/>
      <c r="IT105" s="1"/>
      <c r="IU105" s="1"/>
      <c r="IV105" s="1"/>
      <c r="IW105" s="1"/>
      <c r="IX105" s="1"/>
      <c r="IY105" s="1"/>
      <c r="IZ105" s="1"/>
      <c r="JA105" s="1"/>
      <c r="JB105" s="1"/>
      <c r="JC105" s="178"/>
      <c r="JD105" s="135"/>
    </row>
    <row r="106" spans="9:264">
      <c r="I106" s="24" t="s">
        <v>330</v>
      </c>
      <c r="J106" s="157" t="s">
        <v>331</v>
      </c>
      <c r="K106" s="157" t="s">
        <v>331</v>
      </c>
      <c r="L106" s="24" t="s">
        <v>39</v>
      </c>
      <c r="M106" s="24" t="s">
        <v>330</v>
      </c>
      <c r="N106" s="24" t="s">
        <v>330</v>
      </c>
      <c r="O106" s="24" t="s">
        <v>40</v>
      </c>
      <c r="P106" s="24" t="s">
        <v>332</v>
      </c>
      <c r="Q106" s="24" t="s">
        <v>332</v>
      </c>
      <c r="R106" s="24" t="s">
        <v>333</v>
      </c>
      <c r="S106" s="24" t="s">
        <v>332</v>
      </c>
      <c r="AB106" s="5"/>
      <c r="AI106" s="5"/>
      <c r="AJ106" s="5"/>
      <c r="AK106" s="5"/>
      <c r="AL106" s="5"/>
      <c r="AM106" s="5"/>
      <c r="AN106" s="5"/>
      <c r="AO106" s="5"/>
      <c r="AP106" s="456" t="s">
        <v>3526</v>
      </c>
      <c r="AQ106" s="457" t="str">
        <f>BS131</f>
        <v/>
      </c>
      <c r="AR106" s="4"/>
      <c r="AS106" s="4"/>
      <c r="AT106" s="4"/>
      <c r="AU106" s="458"/>
      <c r="AV106" s="5"/>
      <c r="AW106" s="5"/>
      <c r="AX106" s="5"/>
      <c r="AY106" s="54"/>
      <c r="AZ106" s="5"/>
      <c r="BA106" s="5"/>
      <c r="BB106" s="5"/>
      <c r="BC106" s="5"/>
      <c r="BD106" s="97"/>
      <c r="BE106" s="113" t="str">
        <f>IF(BF24=4,BF18,"Αδρανής Οθόνη")</f>
        <v>Αδρανής Οθόνη</v>
      </c>
      <c r="BF106" s="114"/>
      <c r="BN106" s="97"/>
      <c r="BO106" s="166"/>
      <c r="BQ106" s="132"/>
      <c r="BR106" s="132"/>
      <c r="BS106" s="271"/>
      <c r="BT106" s="128"/>
      <c r="CJ106" s="123"/>
      <c r="CK106" s="38" t="s">
        <v>3029</v>
      </c>
      <c r="CL106" s="128">
        <f>IF(CL89&lt;0,0,1)</f>
        <v>1</v>
      </c>
      <c r="CM106" s="127"/>
      <c r="CN106" s="38" t="s">
        <v>3029</v>
      </c>
      <c r="CO106" s="128">
        <f>IF(CO89&lt;0,0,1)</f>
        <v>1</v>
      </c>
      <c r="CP106" s="127"/>
      <c r="CQ106" s="6"/>
      <c r="CR106" s="138"/>
      <c r="CS106" s="38" t="s">
        <v>3080</v>
      </c>
      <c r="CT106" s="226">
        <f>DEGREES(ASIN(RADIANS(DEGREES(CT105))))</f>
        <v>0</v>
      </c>
      <c r="CW106" s="170"/>
      <c r="CY106" s="235" t="s">
        <v>3256</v>
      </c>
      <c r="CZ106" s="180" t="str">
        <f>IF(CZ104=0,CZ87,"Βρέθηκαν")</f>
        <v/>
      </c>
      <c r="DC106" s="182"/>
      <c r="DD106" s="175"/>
      <c r="DE106" s="175" t="s">
        <v>3000</v>
      </c>
      <c r="DF106" s="65">
        <f>DF131</f>
        <v>0</v>
      </c>
      <c r="DH106" s="175"/>
      <c r="DK106" s="182"/>
      <c r="DM106" s="2"/>
      <c r="DN106" s="37" t="s">
        <v>832</v>
      </c>
      <c r="DO106" s="37" t="s">
        <v>832</v>
      </c>
      <c r="DP106" s="37" t="s">
        <v>832</v>
      </c>
      <c r="DQ106" s="37" t="s">
        <v>3377</v>
      </c>
      <c r="DR106" s="37" t="s">
        <v>833</v>
      </c>
      <c r="DS106" s="22"/>
      <c r="DT106" s="6"/>
      <c r="DZ106" s="48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FK106" s="135"/>
      <c r="FY106" s="2"/>
      <c r="FZ106" s="37" t="s">
        <v>789</v>
      </c>
      <c r="GA106" s="37" t="s">
        <v>789</v>
      </c>
      <c r="GB106" s="37" t="s">
        <v>789</v>
      </c>
      <c r="GC106" s="37" t="s">
        <v>3907</v>
      </c>
      <c r="GD106" s="37" t="s">
        <v>3701</v>
      </c>
      <c r="GF106" s="22"/>
      <c r="GL106" s="48"/>
      <c r="GV106" s="128"/>
      <c r="GW106" s="128"/>
      <c r="HJ106" s="48"/>
      <c r="HK106" s="170"/>
      <c r="HM106" s="1" t="s">
        <v>3910</v>
      </c>
      <c r="HN106" s="1">
        <f>IF(HN19=HM106,14,0)</f>
        <v>0</v>
      </c>
      <c r="IB106" s="170"/>
      <c r="IG106" s="1"/>
      <c r="IH106" s="1"/>
      <c r="II106" s="1"/>
      <c r="IJ106" s="1"/>
      <c r="IK106" s="1"/>
      <c r="IL106" s="1"/>
      <c r="IM106" s="1"/>
      <c r="IN106" s="178"/>
      <c r="IO106" s="1"/>
      <c r="IP106" s="409" t="s">
        <v>3902</v>
      </c>
      <c r="IQ106" s="537">
        <f>IF(IQ102="εκ",2,0)</f>
        <v>0</v>
      </c>
      <c r="IR106" s="1"/>
      <c r="IS106" s="1"/>
      <c r="IT106" s="1"/>
      <c r="IU106" s="1"/>
      <c r="IV106" s="1"/>
      <c r="IW106" s="1"/>
      <c r="IX106" s="1"/>
      <c r="IY106" s="1"/>
      <c r="IZ106" s="1"/>
      <c r="JA106" s="1"/>
      <c r="JB106" s="1"/>
      <c r="JC106" s="178"/>
      <c r="JD106" s="135"/>
    </row>
    <row r="107" spans="9:264">
      <c r="I107" s="24" t="s">
        <v>334</v>
      </c>
      <c r="J107" s="157" t="s">
        <v>335</v>
      </c>
      <c r="K107" s="157" t="s">
        <v>335</v>
      </c>
      <c r="L107" s="24" t="s">
        <v>39</v>
      </c>
      <c r="M107" s="24" t="s">
        <v>334</v>
      </c>
      <c r="N107" s="24" t="s">
        <v>334</v>
      </c>
      <c r="O107" s="24" t="s">
        <v>40</v>
      </c>
      <c r="P107" s="24" t="s">
        <v>336</v>
      </c>
      <c r="Q107" s="24" t="s">
        <v>337</v>
      </c>
      <c r="R107" s="24" t="s">
        <v>338</v>
      </c>
      <c r="S107" s="24" t="s">
        <v>336</v>
      </c>
      <c r="AB107" s="5"/>
      <c r="AI107" s="5"/>
      <c r="AJ107" s="5"/>
      <c r="AK107" s="5"/>
      <c r="AL107" s="5"/>
      <c r="AM107" s="5"/>
      <c r="AN107" s="5"/>
      <c r="AO107" s="5"/>
      <c r="AP107" s="469" t="s">
        <v>3550</v>
      </c>
      <c r="AQ107" s="121"/>
      <c r="AR107" s="121" t="s">
        <v>3538</v>
      </c>
      <c r="AS107" s="459"/>
      <c r="AT107" s="48"/>
      <c r="AU107" s="121" t="s">
        <v>2798</v>
      </c>
      <c r="AV107" s="5"/>
      <c r="AW107" s="5"/>
      <c r="AX107" s="5"/>
      <c r="AY107" s="54"/>
      <c r="AZ107" s="5"/>
      <c r="BA107" s="5"/>
      <c r="BB107" s="5"/>
      <c r="BC107" s="5"/>
      <c r="BD107" s="97"/>
      <c r="BE107" s="115" t="s">
        <v>2834</v>
      </c>
      <c r="BF107" s="116"/>
      <c r="BN107" s="97"/>
      <c r="BO107" s="166"/>
      <c r="BR107" s="235"/>
      <c r="CJ107" s="123"/>
      <c r="CK107" s="38" t="s">
        <v>3030</v>
      </c>
      <c r="CL107" s="128">
        <f>IF(CL94&lt;0,0,1)</f>
        <v>1</v>
      </c>
      <c r="CM107" s="127"/>
      <c r="CN107" s="38" t="s">
        <v>3030</v>
      </c>
      <c r="CO107" s="128">
        <f>IF(CO94&lt;0,0,1)</f>
        <v>1</v>
      </c>
      <c r="CP107" s="127"/>
      <c r="CQ107" s="6"/>
      <c r="CR107" s="138"/>
      <c r="CS107" s="38" t="s">
        <v>3081</v>
      </c>
      <c r="CT107" s="143">
        <f>CT87+CT106</f>
        <v>0</v>
      </c>
      <c r="CW107" s="170"/>
      <c r="CY107" s="235" t="s">
        <v>3245</v>
      </c>
      <c r="CZ107" s="180" t="str">
        <f>IF(CZ104=0,CZ88,"")</f>
        <v/>
      </c>
      <c r="DC107" s="182"/>
      <c r="DE107" s="402" t="s">
        <v>3001</v>
      </c>
      <c r="DF107" s="195">
        <f>IF(DF106&lt;10,DF106,DH105)</f>
        <v>0</v>
      </c>
      <c r="DG107" s="403" t="s">
        <v>3002</v>
      </c>
      <c r="DH107" s="402"/>
      <c r="DI107" s="402"/>
      <c r="DJ107" s="402"/>
      <c r="DK107" s="182"/>
      <c r="DM107" s="2"/>
      <c r="DN107" s="37" t="s">
        <v>3378</v>
      </c>
      <c r="DO107" s="37" t="s">
        <v>3378</v>
      </c>
      <c r="DP107" s="37" t="s">
        <v>3220</v>
      </c>
      <c r="DQ107" s="37" t="s">
        <v>3379</v>
      </c>
      <c r="DR107" s="37" t="s">
        <v>874</v>
      </c>
      <c r="DS107" s="22"/>
      <c r="DT107" s="6"/>
      <c r="DZ107" s="48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FK107" s="135"/>
      <c r="FY107" s="2"/>
      <c r="FZ107" s="37" t="s">
        <v>3374</v>
      </c>
      <c r="GA107" s="37" t="s">
        <v>3374</v>
      </c>
      <c r="GB107" s="37" t="s">
        <v>821</v>
      </c>
      <c r="GC107" s="37" t="s">
        <v>3912</v>
      </c>
      <c r="GD107" s="37" t="s">
        <v>824</v>
      </c>
      <c r="GF107" s="22"/>
      <c r="GL107" s="48"/>
      <c r="GV107" s="128"/>
      <c r="GW107" s="128"/>
      <c r="HJ107" s="48"/>
      <c r="HK107" s="170"/>
      <c r="HM107" s="1" t="s">
        <v>3688</v>
      </c>
      <c r="HN107" s="170">
        <f>HN105+HN106</f>
        <v>0</v>
      </c>
      <c r="IB107" s="170"/>
      <c r="IG107" s="1"/>
      <c r="IH107" s="1"/>
      <c r="II107" s="1"/>
      <c r="IJ107" s="1"/>
      <c r="IK107" s="1"/>
      <c r="IL107" s="1"/>
      <c r="IM107" s="1"/>
      <c r="IN107" s="178"/>
      <c r="IO107" s="1"/>
      <c r="IP107" s="409" t="s">
        <v>3904</v>
      </c>
      <c r="IQ107" s="537">
        <f>IF(IQ102="ω",4,0)</f>
        <v>0</v>
      </c>
      <c r="IR107" s="1"/>
      <c r="IS107" s="1"/>
      <c r="IT107" s="1"/>
      <c r="IU107" s="1"/>
      <c r="IV107" s="1"/>
      <c r="IW107" s="1"/>
      <c r="IX107" s="1"/>
      <c r="IY107" s="1"/>
      <c r="IZ107" s="1"/>
      <c r="JA107" s="1"/>
      <c r="JB107" s="1"/>
      <c r="JC107" s="178"/>
      <c r="JD107" s="135"/>
    </row>
    <row r="108" spans="9:264">
      <c r="I108" s="24" t="s">
        <v>339</v>
      </c>
      <c r="J108" s="157" t="s">
        <v>340</v>
      </c>
      <c r="K108" s="157" t="s">
        <v>340</v>
      </c>
      <c r="L108" s="24" t="s">
        <v>39</v>
      </c>
      <c r="M108" s="24" t="s">
        <v>339</v>
      </c>
      <c r="N108" s="24" t="s">
        <v>339</v>
      </c>
      <c r="O108" s="24" t="s">
        <v>40</v>
      </c>
      <c r="P108" s="24" t="s">
        <v>341</v>
      </c>
      <c r="Q108" s="24" t="s">
        <v>342</v>
      </c>
      <c r="R108" s="24" t="s">
        <v>343</v>
      </c>
      <c r="S108" s="24" t="s">
        <v>341</v>
      </c>
      <c r="AB108" s="5"/>
      <c r="AI108" s="5"/>
      <c r="AJ108" s="5"/>
      <c r="AK108" s="5"/>
      <c r="AL108" s="5"/>
      <c r="AM108" s="5"/>
      <c r="AN108" s="5"/>
      <c r="AO108" s="5"/>
      <c r="AP108" s="4" t="s">
        <v>3546</v>
      </c>
      <c r="AQ108" s="450" t="str">
        <f>BU119</f>
        <v/>
      </c>
      <c r="AR108" s="448" t="s">
        <v>2784</v>
      </c>
      <c r="AS108" s="449" t="str">
        <f>CB125</f>
        <v/>
      </c>
      <c r="AT108" s="4" t="s">
        <v>2785</v>
      </c>
      <c r="AU108" s="450" t="str">
        <f>CD119</f>
        <v/>
      </c>
      <c r="AV108" s="5"/>
      <c r="AW108" s="5"/>
      <c r="AX108" s="5"/>
      <c r="AY108" s="54"/>
      <c r="AZ108" s="5"/>
      <c r="BA108" s="5"/>
      <c r="BB108" s="5"/>
      <c r="BC108" s="5"/>
      <c r="BD108" s="97"/>
      <c r="BE108" s="115" t="s">
        <v>2863</v>
      </c>
      <c r="BF108" s="144">
        <v>2000</v>
      </c>
      <c r="BN108" s="97"/>
      <c r="BO108" s="166"/>
      <c r="BQ108" s="1" t="s">
        <v>3112</v>
      </c>
      <c r="BR108" s="243">
        <f>CB103</f>
        <v>0</v>
      </c>
      <c r="BS108" s="187" t="str">
        <f>LOOKUP(BR108,(BR92:BR101),(BS92:BS101))</f>
        <v/>
      </c>
      <c r="BT108" s="187" t="str">
        <f>LOOKUP(BR108,(BR92:BR101),(BT92:BT101))</f>
        <v/>
      </c>
      <c r="CJ108" s="123"/>
      <c r="CK108" s="38" t="s">
        <v>3031</v>
      </c>
      <c r="CL108" s="128">
        <f>IF(CL99&lt;0,0,1)</f>
        <v>1</v>
      </c>
      <c r="CM108" s="127"/>
      <c r="CN108" s="38" t="s">
        <v>3031</v>
      </c>
      <c r="CO108" s="128">
        <f>IF(CO99&lt;0,0,1)</f>
        <v>1</v>
      </c>
      <c r="CP108" s="127"/>
      <c r="CQ108" s="6"/>
      <c r="CR108" s="138"/>
      <c r="CS108" s="133" t="s">
        <v>2831</v>
      </c>
      <c r="CT108" s="127"/>
      <c r="CW108" s="170"/>
      <c r="CY108" s="235" t="s">
        <v>3244</v>
      </c>
      <c r="CZ108" s="109" t="str">
        <f>IF(CZ104=0,CZ89,"Διαφορετικά πρόσημα")</f>
        <v/>
      </c>
      <c r="DC108" s="182"/>
      <c r="DE108" s="1" t="s">
        <v>2953</v>
      </c>
      <c r="DF108" s="404">
        <f>IF(DF107&lt;10,DF107,0)</f>
        <v>0</v>
      </c>
      <c r="DG108" s="1" t="s">
        <v>2931</v>
      </c>
      <c r="DH108" s="1">
        <f t="shared" ref="DH108:DH116" si="7">IF(DF109=0,DF108,0)</f>
        <v>0</v>
      </c>
      <c r="DI108" s="1" t="s">
        <v>2954</v>
      </c>
      <c r="DJ108" s="170">
        <f>IF(DH108&gt;0,9,0)</f>
        <v>0</v>
      </c>
      <c r="DK108" s="182"/>
      <c r="DM108" s="2"/>
      <c r="DN108" s="37" t="s">
        <v>873</v>
      </c>
      <c r="DO108" s="37" t="s">
        <v>873</v>
      </c>
      <c r="DP108" s="37" t="s">
        <v>3220</v>
      </c>
      <c r="DQ108" s="37" t="s">
        <v>3379</v>
      </c>
      <c r="DR108" s="37" t="s">
        <v>874</v>
      </c>
      <c r="DS108" s="22"/>
      <c r="DT108" s="6"/>
      <c r="DZ108" s="48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FK108" s="135"/>
      <c r="FY108" s="2"/>
      <c r="FZ108" s="37" t="s">
        <v>821</v>
      </c>
      <c r="GA108" s="37" t="s">
        <v>821</v>
      </c>
      <c r="GB108" s="37" t="s">
        <v>821</v>
      </c>
      <c r="GC108" s="37" t="s">
        <v>3912</v>
      </c>
      <c r="GD108" s="37" t="s">
        <v>824</v>
      </c>
      <c r="GF108" s="22"/>
      <c r="GL108" s="48"/>
      <c r="GV108" s="128"/>
      <c r="GW108" s="128"/>
      <c r="HJ108" s="48"/>
      <c r="HK108" s="170"/>
      <c r="HM108" s="191">
        <v>15</v>
      </c>
      <c r="IB108" s="170"/>
      <c r="IG108" s="1"/>
      <c r="IH108" s="1"/>
      <c r="II108" s="1"/>
      <c r="IJ108" s="1"/>
      <c r="IK108" s="1"/>
      <c r="IL108" s="1"/>
      <c r="IM108" s="1"/>
      <c r="IN108" s="178"/>
      <c r="IO108" s="1"/>
      <c r="IP108" s="409" t="s">
        <v>3906</v>
      </c>
      <c r="IQ108" s="537">
        <f>IF(IQ28=IR28,10,0)</f>
        <v>0</v>
      </c>
      <c r="IR108" s="1"/>
      <c r="IS108" s="1"/>
      <c r="IT108" s="1"/>
      <c r="IU108" s="1"/>
      <c r="IV108" s="1"/>
      <c r="IW108" s="1"/>
      <c r="IX108" s="1"/>
      <c r="IY108" s="1"/>
      <c r="IZ108" s="1"/>
      <c r="JA108" s="1"/>
      <c r="JB108" s="1"/>
      <c r="JC108" s="178"/>
      <c r="JD108" s="135"/>
    </row>
    <row r="109" spans="9:264" ht="18.75">
      <c r="I109" s="22"/>
      <c r="J109" s="156" t="s">
        <v>344</v>
      </c>
      <c r="K109" s="156" t="s">
        <v>344</v>
      </c>
      <c r="L109" s="22">
        <v>23</v>
      </c>
      <c r="M109" s="22">
        <v>18</v>
      </c>
      <c r="N109" s="22">
        <v>49.4</v>
      </c>
      <c r="O109" s="22">
        <v>-32</v>
      </c>
      <c r="P109" s="22">
        <v>-31</v>
      </c>
      <c r="Q109" s="22">
        <v>-55</v>
      </c>
      <c r="R109" s="22" t="s">
        <v>345</v>
      </c>
      <c r="S109" s="22" t="s">
        <v>346</v>
      </c>
      <c r="AB109" s="5"/>
      <c r="AI109" s="5"/>
      <c r="AJ109" s="5"/>
      <c r="AK109" s="5"/>
      <c r="AL109" s="5"/>
      <c r="AM109" s="5"/>
      <c r="AN109" s="5"/>
      <c r="AO109" s="5"/>
      <c r="AP109" s="4" t="s">
        <v>3547</v>
      </c>
      <c r="AQ109" s="447" t="str">
        <f>BV119</f>
        <v/>
      </c>
      <c r="AR109" s="451" t="str">
        <f>CB127</f>
        <v/>
      </c>
      <c r="AS109" s="116"/>
      <c r="AT109" s="4" t="s">
        <v>2786</v>
      </c>
      <c r="AU109" s="450" t="str">
        <f>CE119</f>
        <v/>
      </c>
      <c r="AV109" s="5"/>
      <c r="AW109" s="5"/>
      <c r="AX109" s="5"/>
      <c r="AY109" s="54"/>
      <c r="AZ109" s="5"/>
      <c r="BA109" s="5"/>
      <c r="BB109" s="5"/>
      <c r="BC109" s="5"/>
      <c r="BD109" s="97"/>
      <c r="BE109" s="115" t="s">
        <v>2808</v>
      </c>
      <c r="BF109" s="57" t="s">
        <v>119</v>
      </c>
      <c r="BN109" s="97"/>
      <c r="BO109" s="166"/>
      <c r="BR109" s="235"/>
      <c r="CJ109" s="123"/>
      <c r="CK109" s="130" t="s">
        <v>3032</v>
      </c>
      <c r="CL109" s="132">
        <f>CL106+CL107+CL108</f>
        <v>3</v>
      </c>
      <c r="CM109" s="208"/>
      <c r="CN109" s="130" t="s">
        <v>3032</v>
      </c>
      <c r="CO109" s="132">
        <f>CO106+CO107+CO108</f>
        <v>3</v>
      </c>
      <c r="CP109" s="127"/>
      <c r="CQ109" s="6"/>
      <c r="CR109" s="138"/>
      <c r="CS109" s="222" t="s">
        <v>3094</v>
      </c>
      <c r="CT109" s="118">
        <f>CT96</f>
        <v>0</v>
      </c>
      <c r="CW109" s="170"/>
      <c r="CY109" s="108"/>
      <c r="CZ109" s="235"/>
      <c r="DC109" s="182"/>
      <c r="DD109" s="1" t="s">
        <v>3273</v>
      </c>
      <c r="DE109" s="1" t="s">
        <v>2955</v>
      </c>
      <c r="DF109" s="404">
        <f>IF(DF107&lt;9,DF107,0)</f>
        <v>0</v>
      </c>
      <c r="DG109" s="1" t="s">
        <v>2931</v>
      </c>
      <c r="DH109" s="1">
        <f t="shared" si="7"/>
        <v>0</v>
      </c>
      <c r="DI109" s="1" t="s">
        <v>2956</v>
      </c>
      <c r="DJ109" s="170">
        <f>IF(DH109&gt;0,8,0)</f>
        <v>0</v>
      </c>
      <c r="DK109" s="182"/>
      <c r="DM109" s="2"/>
      <c r="DN109" s="37" t="s">
        <v>3380</v>
      </c>
      <c r="DO109" s="37" t="s">
        <v>3380</v>
      </c>
      <c r="DP109" s="37" t="s">
        <v>3220</v>
      </c>
      <c r="DQ109" s="37" t="s">
        <v>3379</v>
      </c>
      <c r="DR109" s="37" t="s">
        <v>874</v>
      </c>
      <c r="DS109" s="22"/>
      <c r="DT109" s="6"/>
      <c r="DZ109" s="48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U109" s="113" t="str">
        <f>IF(EV24=4,EV18,"Αδρανής Οθόνη")</f>
        <v>Αδρανής Οθόνη</v>
      </c>
      <c r="EV109" s="114"/>
      <c r="FK109" s="135"/>
      <c r="FY109" s="2"/>
      <c r="FZ109" s="37" t="s">
        <v>3376</v>
      </c>
      <c r="GA109" s="37" t="s">
        <v>3376</v>
      </c>
      <c r="GB109" s="37" t="s">
        <v>832</v>
      </c>
      <c r="GC109" s="37" t="s">
        <v>3915</v>
      </c>
      <c r="GD109" s="37" t="s">
        <v>835</v>
      </c>
      <c r="GF109" s="22"/>
      <c r="GL109" s="48"/>
      <c r="GV109" s="128"/>
      <c r="GW109" s="128"/>
      <c r="HJ109" s="48"/>
      <c r="HK109" s="170"/>
      <c r="HM109" s="1" t="s">
        <v>3914</v>
      </c>
      <c r="IB109" s="170"/>
      <c r="IG109" s="1"/>
      <c r="IH109" s="1"/>
      <c r="II109" s="1"/>
      <c r="IJ109" s="1"/>
      <c r="IK109" s="1"/>
      <c r="IL109" s="1"/>
      <c r="IM109" s="1"/>
      <c r="IN109" s="178"/>
      <c r="IO109" s="1"/>
      <c r="IP109" s="409" t="s">
        <v>4050</v>
      </c>
      <c r="IQ109" s="537">
        <f>IF(IQ102="ααα",5,0)</f>
        <v>0</v>
      </c>
      <c r="IR109" s="1"/>
      <c r="IS109" s="1"/>
      <c r="IT109" s="1"/>
      <c r="IU109" s="1"/>
      <c r="IV109" s="1"/>
      <c r="IW109" s="1"/>
      <c r="IX109" s="1"/>
      <c r="IY109" s="1"/>
      <c r="IZ109" s="1"/>
      <c r="JA109" s="1"/>
      <c r="JB109" s="1"/>
      <c r="JC109" s="178"/>
      <c r="JD109" s="135"/>
    </row>
    <row r="110" spans="9:264" ht="20.25">
      <c r="I110" s="22"/>
      <c r="J110" s="156" t="s">
        <v>347</v>
      </c>
      <c r="K110" s="156" t="s">
        <v>347</v>
      </c>
      <c r="L110" s="22">
        <v>23</v>
      </c>
      <c r="M110" s="22">
        <v>48</v>
      </c>
      <c r="N110" s="22">
        <v>55.5</v>
      </c>
      <c r="O110" s="22">
        <v>-28</v>
      </c>
      <c r="P110" s="22">
        <v>-7</v>
      </c>
      <c r="Q110" s="22">
        <v>-50</v>
      </c>
      <c r="R110" s="22" t="s">
        <v>348</v>
      </c>
      <c r="S110" s="22" t="s">
        <v>349</v>
      </c>
      <c r="AB110" s="5"/>
      <c r="AI110" s="5"/>
      <c r="AJ110" s="5"/>
      <c r="AK110" s="5"/>
      <c r="AL110" s="5"/>
      <c r="AM110" s="5"/>
      <c r="AN110" s="5"/>
      <c r="AO110" s="5"/>
      <c r="AP110" s="4" t="s">
        <v>3548</v>
      </c>
      <c r="AQ110" s="460" t="str">
        <f>BW119</f>
        <v/>
      </c>
      <c r="AR110" s="453" t="s">
        <v>2788</v>
      </c>
      <c r="AS110" s="454" t="str">
        <f>CB126</f>
        <v/>
      </c>
      <c r="AT110" s="4" t="s">
        <v>2789</v>
      </c>
      <c r="AU110" s="461" t="str">
        <f>CF119</f>
        <v/>
      </c>
      <c r="AV110" s="5"/>
      <c r="AW110" s="5"/>
      <c r="AX110" s="5"/>
      <c r="AY110" s="54"/>
      <c r="AZ110" s="5"/>
      <c r="BA110" s="5"/>
      <c r="BB110" s="5"/>
      <c r="BC110" s="5"/>
      <c r="BD110" s="97"/>
      <c r="BE110" s="115" t="s">
        <v>2809</v>
      </c>
      <c r="BF110" s="57" t="s">
        <v>182</v>
      </c>
      <c r="BN110" s="97"/>
      <c r="BO110" s="166"/>
      <c r="BR110" s="235"/>
      <c r="CJ110" s="123"/>
      <c r="CK110" s="134" t="s">
        <v>3033</v>
      </c>
      <c r="CL110" s="209">
        <f>IF(CL109=3,1,0)</f>
        <v>1</v>
      </c>
      <c r="CM110" s="127"/>
      <c r="CN110" s="134" t="s">
        <v>3033</v>
      </c>
      <c r="CO110" s="209">
        <f>IF(CO109=3,1,0)</f>
        <v>1</v>
      </c>
      <c r="CP110" s="127"/>
      <c r="CQ110" s="6"/>
      <c r="CR110" s="138"/>
      <c r="CS110" s="222" t="s">
        <v>3095</v>
      </c>
      <c r="CT110" s="118">
        <f>CT107</f>
        <v>0</v>
      </c>
      <c r="CW110" s="170"/>
      <c r="CY110" s="238" t="s">
        <v>2798</v>
      </c>
      <c r="DC110" s="182"/>
      <c r="DE110" s="1" t="s">
        <v>2957</v>
      </c>
      <c r="DF110" s="404">
        <f>IF(DF107&lt;8,DF107,0)</f>
        <v>0</v>
      </c>
      <c r="DG110" s="1" t="s">
        <v>2931</v>
      </c>
      <c r="DH110" s="1">
        <f t="shared" si="7"/>
        <v>0</v>
      </c>
      <c r="DI110" s="1" t="s">
        <v>2958</v>
      </c>
      <c r="DJ110" s="170">
        <f>IF(DH110&gt;0,7,0)</f>
        <v>0</v>
      </c>
      <c r="DK110" s="182"/>
      <c r="DM110" s="2"/>
      <c r="DN110" s="37" t="s">
        <v>3220</v>
      </c>
      <c r="DO110" s="37" t="s">
        <v>3220</v>
      </c>
      <c r="DP110" s="37" t="s">
        <v>3220</v>
      </c>
      <c r="DQ110" s="37" t="s">
        <v>3379</v>
      </c>
      <c r="DR110" s="37" t="s">
        <v>874</v>
      </c>
      <c r="DS110" s="22"/>
      <c r="DT110" s="6"/>
      <c r="DZ110" s="48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U110" s="115" t="s">
        <v>2834</v>
      </c>
      <c r="EV110" s="116"/>
      <c r="FK110" s="135"/>
      <c r="FY110" s="2"/>
      <c r="FZ110" s="37" t="s">
        <v>832</v>
      </c>
      <c r="GA110" s="37" t="s">
        <v>832</v>
      </c>
      <c r="GB110" s="37" t="s">
        <v>832</v>
      </c>
      <c r="GC110" s="37" t="s">
        <v>3915</v>
      </c>
      <c r="GD110" s="37" t="s">
        <v>835</v>
      </c>
      <c r="GF110" s="22"/>
      <c r="GL110" s="48"/>
      <c r="GV110" s="128"/>
      <c r="GW110" s="128"/>
      <c r="HJ110" s="48"/>
      <c r="HK110" s="170"/>
      <c r="HM110" s="1" t="s">
        <v>3718</v>
      </c>
      <c r="HN110" s="1">
        <f>IF(HN19=HM110,15,0)</f>
        <v>0</v>
      </c>
      <c r="IB110" s="170"/>
      <c r="IG110" s="1"/>
      <c r="IH110" s="1"/>
      <c r="II110" s="1"/>
      <c r="IJ110" s="1"/>
      <c r="IK110" s="1"/>
      <c r="IL110" s="1"/>
      <c r="IM110" s="1"/>
      <c r="IN110" s="178"/>
      <c r="IO110" s="1"/>
      <c r="IR110" s="1"/>
      <c r="IS110" s="561">
        <f>IQ111</f>
        <v>0</v>
      </c>
      <c r="IT110" s="1"/>
      <c r="IU110" s="1"/>
      <c r="IV110" s="1"/>
      <c r="IW110" s="1"/>
      <c r="IX110" s="1"/>
      <c r="IY110" s="1"/>
      <c r="IZ110" s="1"/>
      <c r="JA110" s="1"/>
      <c r="JB110" s="1"/>
      <c r="JC110" s="178"/>
      <c r="JD110" s="135"/>
    </row>
    <row r="111" spans="9:264">
      <c r="I111" s="24" t="s">
        <v>350</v>
      </c>
      <c r="J111" s="157" t="s">
        <v>351</v>
      </c>
      <c r="K111" s="157" t="s">
        <v>351</v>
      </c>
      <c r="L111" s="24" t="s">
        <v>39</v>
      </c>
      <c r="M111" s="24" t="s">
        <v>350</v>
      </c>
      <c r="N111" s="24" t="s">
        <v>350</v>
      </c>
      <c r="O111" s="24" t="s">
        <v>40</v>
      </c>
      <c r="P111" s="24" t="s">
        <v>352</v>
      </c>
      <c r="Q111" s="24" t="s">
        <v>353</v>
      </c>
      <c r="R111" s="24" t="s">
        <v>354</v>
      </c>
      <c r="S111" s="24" t="s">
        <v>352</v>
      </c>
      <c r="AB111" s="5"/>
      <c r="AI111" s="5"/>
      <c r="AJ111" s="5"/>
      <c r="AK111" s="5"/>
      <c r="AL111" s="5"/>
      <c r="AM111" s="5"/>
      <c r="AN111" s="5"/>
      <c r="AO111" s="5"/>
      <c r="AP111" s="4" t="s">
        <v>3549</v>
      </c>
      <c r="AQ111" s="455" t="str">
        <f>BX119</f>
        <v/>
      </c>
      <c r="AR111" s="4" t="s">
        <v>3541</v>
      </c>
      <c r="AS111" s="4"/>
      <c r="AT111" s="4" t="s">
        <v>2790</v>
      </c>
      <c r="AU111" s="455" t="str">
        <f>CG119</f>
        <v/>
      </c>
      <c r="AV111" s="5"/>
      <c r="AW111" s="5"/>
      <c r="AX111" s="5"/>
      <c r="AY111" s="54"/>
      <c r="AZ111" s="5"/>
      <c r="BA111" s="5"/>
      <c r="BB111" s="5"/>
      <c r="BC111" s="5"/>
      <c r="BD111" s="97"/>
      <c r="BE111" s="301" t="s">
        <v>3240</v>
      </c>
      <c r="BF111" s="57" t="s">
        <v>3243</v>
      </c>
      <c r="BN111" s="97"/>
      <c r="BO111" s="166"/>
      <c r="BR111" s="235"/>
      <c r="CJ111" s="123"/>
      <c r="CK111" s="133" t="s">
        <v>3034</v>
      </c>
      <c r="CL111" s="128"/>
      <c r="CM111" s="127"/>
      <c r="CN111" s="133" t="s">
        <v>3034</v>
      </c>
      <c r="CO111" s="128"/>
      <c r="CP111" s="127"/>
      <c r="CQ111" s="6"/>
      <c r="CR111" s="138"/>
      <c r="CS111" s="38" t="s">
        <v>3082</v>
      </c>
      <c r="CT111" s="127"/>
      <c r="CW111" s="170"/>
      <c r="CY111" s="235" t="s">
        <v>3257</v>
      </c>
      <c r="CZ111" s="180" t="str">
        <f>IF(CZ104=0,CZ92,"Βρέθηκαν")</f>
        <v/>
      </c>
      <c r="DC111" s="182"/>
      <c r="DE111" s="1" t="s">
        <v>2959</v>
      </c>
      <c r="DF111" s="404">
        <f>IF(DF107&lt;7,DF107,0)</f>
        <v>0</v>
      </c>
      <c r="DG111" s="1" t="s">
        <v>2931</v>
      </c>
      <c r="DH111" s="1">
        <f t="shared" si="7"/>
        <v>0</v>
      </c>
      <c r="DI111" s="1" t="s">
        <v>2960</v>
      </c>
      <c r="DJ111" s="170">
        <f>IF(DH111&gt;0,6,0)</f>
        <v>0</v>
      </c>
      <c r="DK111" s="182"/>
      <c r="DM111" s="2"/>
      <c r="DN111" s="37" t="s">
        <v>3381</v>
      </c>
      <c r="DO111" s="37" t="s">
        <v>3381</v>
      </c>
      <c r="DP111" s="37" t="s">
        <v>3382</v>
      </c>
      <c r="DQ111" s="37" t="s">
        <v>3383</v>
      </c>
      <c r="DR111" s="37" t="s">
        <v>955</v>
      </c>
      <c r="DS111" s="22"/>
      <c r="DT111" s="6"/>
      <c r="DZ111" s="48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U111" s="115" t="s">
        <v>2863</v>
      </c>
      <c r="EV111" s="144">
        <v>2000</v>
      </c>
      <c r="FK111" s="135"/>
      <c r="FY111" s="2"/>
      <c r="FZ111" s="37" t="s">
        <v>3378</v>
      </c>
      <c r="GA111" s="37" t="s">
        <v>3378</v>
      </c>
      <c r="GB111" s="37" t="s">
        <v>3220</v>
      </c>
      <c r="GC111" s="37" t="s">
        <v>3917</v>
      </c>
      <c r="GD111" s="37" t="s">
        <v>876</v>
      </c>
      <c r="GF111" s="22"/>
      <c r="GL111" s="48"/>
      <c r="GV111" s="128"/>
      <c r="GW111" s="128"/>
      <c r="HJ111" s="48"/>
      <c r="HK111" s="170"/>
      <c r="HM111" s="1" t="s">
        <v>4053</v>
      </c>
      <c r="HN111" s="1">
        <f>IF(HN19=HM111,15,0)</f>
        <v>0</v>
      </c>
      <c r="IB111" s="170"/>
      <c r="IG111" s="1"/>
      <c r="IH111" s="1"/>
      <c r="II111" s="1"/>
      <c r="IJ111" s="1"/>
      <c r="IK111" s="1"/>
      <c r="IL111" s="1"/>
      <c r="IM111" s="1"/>
      <c r="IN111" s="178"/>
      <c r="IO111" s="1"/>
      <c r="IP111" s="200" t="s">
        <v>3096</v>
      </c>
      <c r="IQ111" s="560">
        <f>IQ103+IQ104+IQ105+IQ106+IQ107+IQ108+IQ109</f>
        <v>0</v>
      </c>
      <c r="IR111" s="1"/>
      <c r="IS111" s="69">
        <v>1</v>
      </c>
      <c r="IT111" s="69" t="s">
        <v>1220</v>
      </c>
      <c r="IU111" s="69" t="str">
        <f>IX53</f>
        <v>0 κκ0</v>
      </c>
      <c r="IV111" s="1"/>
      <c r="IW111" s="1"/>
      <c r="IX111" s="1"/>
      <c r="IY111" s="1"/>
      <c r="IZ111" s="1"/>
      <c r="JA111" s="1"/>
      <c r="JB111" s="1"/>
      <c r="JC111" s="178"/>
      <c r="JD111" s="135"/>
    </row>
    <row r="112" spans="9:264">
      <c r="I112" s="24" t="s">
        <v>355</v>
      </c>
      <c r="J112" s="157" t="s">
        <v>356</v>
      </c>
      <c r="K112" s="157" t="s">
        <v>356</v>
      </c>
      <c r="L112" s="24" t="s">
        <v>39</v>
      </c>
      <c r="M112" s="24" t="s">
        <v>355</v>
      </c>
      <c r="N112" s="24" t="s">
        <v>355</v>
      </c>
      <c r="O112" s="24" t="s">
        <v>40</v>
      </c>
      <c r="P112" s="24" t="s">
        <v>357</v>
      </c>
      <c r="Q112" s="24" t="s">
        <v>358</v>
      </c>
      <c r="R112" s="24" t="s">
        <v>359</v>
      </c>
      <c r="S112" s="24" t="s">
        <v>357</v>
      </c>
      <c r="AB112" s="5"/>
      <c r="AI112" s="5"/>
      <c r="AJ112" s="5"/>
      <c r="AK112" s="5"/>
      <c r="AL112" s="5"/>
      <c r="AM112" s="5"/>
      <c r="AN112" s="5"/>
      <c r="AO112" s="5"/>
      <c r="AP112" s="55" t="str">
        <f>BS120</f>
        <v/>
      </c>
      <c r="AQ112" s="56"/>
      <c r="AR112" s="462" t="s">
        <v>2791</v>
      </c>
      <c r="AS112" s="190" t="s">
        <v>2758</v>
      </c>
      <c r="AT112" s="58" t="str">
        <f>CB120</f>
        <v/>
      </c>
      <c r="AU112" s="56"/>
      <c r="AV112" s="5"/>
      <c r="AW112" s="5"/>
      <c r="AX112" s="5"/>
      <c r="AY112" s="54"/>
      <c r="AZ112" s="5"/>
      <c r="BA112" s="5"/>
      <c r="BB112" s="5"/>
      <c r="BC112" s="5"/>
      <c r="BD112" s="97"/>
      <c r="BN112" s="97"/>
      <c r="BO112" s="166"/>
      <c r="BR112" s="235"/>
      <c r="CJ112" s="123"/>
      <c r="CK112" s="38" t="s">
        <v>3035</v>
      </c>
      <c r="CL112" s="128">
        <f>IF(CL89&gt;0,0,1)</f>
        <v>1</v>
      </c>
      <c r="CM112" s="127"/>
      <c r="CN112" s="38" t="s">
        <v>3035</v>
      </c>
      <c r="CO112" s="128">
        <f>IF(CO89&gt;0,0,1)</f>
        <v>1</v>
      </c>
      <c r="CP112" s="127"/>
      <c r="CQ112" s="6"/>
      <c r="CR112" s="138"/>
      <c r="CS112" s="38" t="s">
        <v>3083</v>
      </c>
      <c r="CT112" s="127"/>
      <c r="CW112" s="170"/>
      <c r="CY112" s="235" t="s">
        <v>3245</v>
      </c>
      <c r="CZ112" s="180" t="str">
        <f>IF(CZ104=0,CZ93,"")</f>
        <v/>
      </c>
      <c r="DC112" s="182"/>
      <c r="DE112" s="1" t="s">
        <v>2961</v>
      </c>
      <c r="DF112" s="404">
        <f>IF(DF107&lt;6,DF107,0)</f>
        <v>0</v>
      </c>
      <c r="DG112" s="1" t="s">
        <v>2931</v>
      </c>
      <c r="DH112" s="1">
        <f t="shared" si="7"/>
        <v>0</v>
      </c>
      <c r="DI112" s="1" t="s">
        <v>2962</v>
      </c>
      <c r="DJ112" s="170">
        <f>IF(DH112&gt;0,5,0)</f>
        <v>0</v>
      </c>
      <c r="DK112" s="182"/>
      <c r="DM112" s="2"/>
      <c r="DN112" s="37" t="s">
        <v>956</v>
      </c>
      <c r="DO112" s="37" t="s">
        <v>956</v>
      </c>
      <c r="DP112" s="37" t="s">
        <v>3382</v>
      </c>
      <c r="DQ112" s="37" t="s">
        <v>3383</v>
      </c>
      <c r="DR112" s="37" t="s">
        <v>955</v>
      </c>
      <c r="DS112" s="22"/>
      <c r="DT112" s="6"/>
      <c r="DZ112" s="48"/>
      <c r="EL112" s="3"/>
      <c r="EM112" s="3"/>
      <c r="EU112" s="115" t="s">
        <v>2808</v>
      </c>
      <c r="EV112" s="65" t="s">
        <v>3587</v>
      </c>
      <c r="EW112" s="65" t="s">
        <v>3612</v>
      </c>
      <c r="FK112" s="135"/>
      <c r="FY112" s="2"/>
      <c r="FZ112" s="37" t="s">
        <v>873</v>
      </c>
      <c r="GA112" s="37" t="s">
        <v>873</v>
      </c>
      <c r="GB112" s="37" t="s">
        <v>3220</v>
      </c>
      <c r="GC112" s="37" t="s">
        <v>3917</v>
      </c>
      <c r="GD112" s="37" t="s">
        <v>876</v>
      </c>
      <c r="GF112" s="22"/>
      <c r="GL112" s="48"/>
      <c r="GV112" s="128"/>
      <c r="GW112" s="128"/>
      <c r="HJ112" s="48"/>
      <c r="HK112" s="170"/>
      <c r="HM112" s="1" t="s">
        <v>3916</v>
      </c>
      <c r="HN112" s="1">
        <f>IF(HN19=HM112,15,0)</f>
        <v>0</v>
      </c>
      <c r="IB112" s="170"/>
      <c r="IG112" s="1"/>
      <c r="IH112" s="1"/>
      <c r="II112" s="1"/>
      <c r="IJ112" s="1"/>
      <c r="IK112" s="1"/>
      <c r="IL112" s="1"/>
      <c r="IM112" s="1"/>
      <c r="IN112" s="178"/>
      <c r="IO112" s="1"/>
      <c r="IP112" s="1"/>
      <c r="IQ112" s="1"/>
      <c r="IR112" s="1"/>
      <c r="IS112" s="37">
        <v>2</v>
      </c>
      <c r="IT112" s="37" t="s">
        <v>3911</v>
      </c>
      <c r="IU112" s="37" t="str">
        <f>IY68</f>
        <v>0 κκκ0</v>
      </c>
      <c r="IV112" s="1"/>
      <c r="IW112" s="1"/>
      <c r="IX112" s="1"/>
      <c r="IY112" s="1"/>
      <c r="IZ112" s="1"/>
      <c r="JA112" s="1"/>
      <c r="JB112" s="1"/>
      <c r="JC112" s="178"/>
      <c r="JD112" s="135"/>
    </row>
    <row r="113" spans="9:264">
      <c r="I113" s="22"/>
      <c r="J113" s="156" t="s">
        <v>360</v>
      </c>
      <c r="K113" s="156" t="s">
        <v>360</v>
      </c>
      <c r="L113" s="22">
        <v>20</v>
      </c>
      <c r="M113" s="22">
        <v>39</v>
      </c>
      <c r="N113" s="22">
        <v>38.299999999999997</v>
      </c>
      <c r="O113" s="22">
        <v>15</v>
      </c>
      <c r="P113" s="22">
        <v>54</v>
      </c>
      <c r="Q113" s="22">
        <v>43</v>
      </c>
      <c r="R113" s="22" t="s">
        <v>361</v>
      </c>
      <c r="S113" s="22" t="s">
        <v>362</v>
      </c>
      <c r="AB113" s="5"/>
      <c r="AI113" s="5"/>
      <c r="AJ113" s="5"/>
      <c r="AK113" s="5"/>
      <c r="AL113" s="5"/>
      <c r="AM113" s="5"/>
      <c r="AN113" s="5"/>
      <c r="AO113" s="5"/>
      <c r="AP113" s="59" t="str">
        <f>BS121</f>
        <v/>
      </c>
      <c r="AQ113" s="52"/>
      <c r="AR113" s="463" t="s">
        <v>2792</v>
      </c>
      <c r="AS113" s="190" t="s">
        <v>2758</v>
      </c>
      <c r="AT113" s="60" t="str">
        <f>CB121</f>
        <v/>
      </c>
      <c r="AU113" s="52"/>
      <c r="AV113" s="5"/>
      <c r="AW113" s="5"/>
      <c r="AX113" s="5"/>
      <c r="AY113" s="54"/>
      <c r="AZ113" s="5"/>
      <c r="BA113" s="5"/>
      <c r="BB113" s="5"/>
      <c r="BC113" s="5"/>
      <c r="BD113" s="97"/>
      <c r="BN113" s="97"/>
      <c r="BO113" s="166"/>
      <c r="BR113" s="235"/>
      <c r="CJ113" s="123"/>
      <c r="CK113" s="38" t="s">
        <v>3036</v>
      </c>
      <c r="CL113" s="128">
        <f>IF(CL94&gt;0,0,1)</f>
        <v>1</v>
      </c>
      <c r="CM113" s="127"/>
      <c r="CN113" s="38" t="s">
        <v>3036</v>
      </c>
      <c r="CO113" s="128">
        <f>IF(CO94&gt;0,0,1)</f>
        <v>1</v>
      </c>
      <c r="CP113" s="127"/>
      <c r="CQ113" s="6"/>
      <c r="CR113" s="138"/>
      <c r="CS113" s="38" t="s">
        <v>3089</v>
      </c>
      <c r="CT113" s="127"/>
      <c r="CW113" s="170"/>
      <c r="CY113" s="235" t="s">
        <v>3244</v>
      </c>
      <c r="CZ113" s="109" t="str">
        <f>IF(CZ104=0,CZ94,"Διαφορετικά πρόσημα")</f>
        <v/>
      </c>
      <c r="DC113" s="182"/>
      <c r="DE113" s="1" t="s">
        <v>2963</v>
      </c>
      <c r="DF113" s="404">
        <f>IF(DF107&lt;5,DF107,0)</f>
        <v>0</v>
      </c>
      <c r="DG113" s="1" t="s">
        <v>2931</v>
      </c>
      <c r="DH113" s="1">
        <f t="shared" si="7"/>
        <v>0</v>
      </c>
      <c r="DI113" s="1" t="s">
        <v>2964</v>
      </c>
      <c r="DJ113" s="170">
        <f>IF(DH113&gt;0,4,0)</f>
        <v>0</v>
      </c>
      <c r="DK113" s="182"/>
      <c r="DM113" s="2"/>
      <c r="DN113" s="37" t="s">
        <v>3384</v>
      </c>
      <c r="DO113" s="37" t="s">
        <v>3384</v>
      </c>
      <c r="DP113" s="37" t="s">
        <v>3382</v>
      </c>
      <c r="DQ113" s="37" t="s">
        <v>3383</v>
      </c>
      <c r="DR113" s="37" t="s">
        <v>955</v>
      </c>
      <c r="DS113" s="22"/>
      <c r="DT113" s="6"/>
      <c r="DZ113" s="48"/>
      <c r="EL113" s="3"/>
      <c r="EM113" s="3"/>
      <c r="EU113" s="115" t="s">
        <v>2809</v>
      </c>
      <c r="EV113" s="57" t="s">
        <v>3613</v>
      </c>
      <c r="EW113" s="65">
        <v>13</v>
      </c>
      <c r="FK113" s="135"/>
      <c r="FY113" s="2"/>
      <c r="FZ113" s="37" t="s">
        <v>3380</v>
      </c>
      <c r="GA113" s="37" t="s">
        <v>3380</v>
      </c>
      <c r="GB113" s="37" t="s">
        <v>3220</v>
      </c>
      <c r="GC113" s="37" t="s">
        <v>3917</v>
      </c>
      <c r="GD113" s="37" t="s">
        <v>876</v>
      </c>
      <c r="GF113" s="22"/>
      <c r="GL113" s="48"/>
      <c r="GV113" s="128"/>
      <c r="GW113" s="128"/>
      <c r="HJ113" s="48"/>
      <c r="HK113" s="170"/>
      <c r="HM113" s="1" t="s">
        <v>3918</v>
      </c>
      <c r="HN113" s="1">
        <f>IF(HN19=HM113,15,0)</f>
        <v>0</v>
      </c>
      <c r="IB113" s="170"/>
      <c r="IG113" s="1"/>
      <c r="IH113" s="1"/>
      <c r="II113" s="1"/>
      <c r="IJ113" s="1"/>
      <c r="IK113" s="1"/>
      <c r="IL113" s="1"/>
      <c r="IM113" s="1"/>
      <c r="IN113" s="178"/>
      <c r="IO113" s="1"/>
      <c r="IP113" s="1"/>
      <c r="IQ113" s="1"/>
      <c r="IR113" s="1"/>
      <c r="IS113" s="37">
        <v>3</v>
      </c>
      <c r="IT113" s="37"/>
      <c r="IU113" s="37"/>
      <c r="IV113" s="1"/>
      <c r="IW113" s="1"/>
      <c r="IX113" s="1"/>
      <c r="IY113" s="1"/>
      <c r="IZ113" s="1"/>
      <c r="JA113" s="1"/>
      <c r="JB113" s="1"/>
      <c r="JC113" s="178"/>
      <c r="JD113" s="135"/>
    </row>
    <row r="114" spans="9:264">
      <c r="I114" s="22"/>
      <c r="J114" s="156" t="s">
        <v>363</v>
      </c>
      <c r="K114" s="156" t="s">
        <v>363</v>
      </c>
      <c r="L114" s="22">
        <v>20</v>
      </c>
      <c r="M114" s="22">
        <v>37</v>
      </c>
      <c r="N114" s="22">
        <v>32.9</v>
      </c>
      <c r="O114" s="22">
        <v>14</v>
      </c>
      <c r="P114" s="22">
        <v>35</v>
      </c>
      <c r="Q114" s="22">
        <v>42</v>
      </c>
      <c r="R114" s="22" t="s">
        <v>364</v>
      </c>
      <c r="S114" s="22" t="s">
        <v>365</v>
      </c>
      <c r="AB114" s="5"/>
      <c r="AI114" s="56"/>
      <c r="AJ114" s="56"/>
      <c r="AK114" s="56"/>
      <c r="AL114" s="56"/>
      <c r="AM114" s="56"/>
      <c r="AN114" s="56"/>
      <c r="AO114" s="56"/>
      <c r="AP114" s="56"/>
      <c r="AQ114" s="56"/>
      <c r="AR114" s="56"/>
      <c r="AS114" s="61" t="s">
        <v>2793</v>
      </c>
      <c r="AT114" s="56"/>
      <c r="AU114" s="56"/>
      <c r="AV114" s="56"/>
      <c r="AW114" s="56"/>
      <c r="AX114" s="56"/>
      <c r="AY114" s="62"/>
      <c r="AZ114" s="5"/>
      <c r="BA114" s="5"/>
      <c r="BB114" s="5"/>
      <c r="BC114" s="5"/>
      <c r="BD114" s="97"/>
      <c r="BN114" s="97"/>
      <c r="BO114" s="166"/>
      <c r="BR114" s="235"/>
      <c r="CJ114" s="123"/>
      <c r="CK114" s="38" t="s">
        <v>3037</v>
      </c>
      <c r="CL114" s="128">
        <f>IF(CL99&gt;0,0,1)</f>
        <v>1</v>
      </c>
      <c r="CM114" s="127"/>
      <c r="CN114" s="38" t="s">
        <v>3037</v>
      </c>
      <c r="CO114" s="128">
        <f>IF(CO99&gt;0,0,1)</f>
        <v>1</v>
      </c>
      <c r="CP114" s="127"/>
      <c r="CQ114" s="6"/>
      <c r="CR114" s="138"/>
      <c r="CS114" s="38"/>
      <c r="CT114" s="127"/>
      <c r="CW114" s="170"/>
      <c r="CY114" s="6"/>
      <c r="CZ114" s="73"/>
      <c r="DC114" s="182"/>
      <c r="DE114" s="1" t="s">
        <v>2965</v>
      </c>
      <c r="DF114" s="404">
        <f>IF(DF107&lt;4,DF107,0)</f>
        <v>0</v>
      </c>
      <c r="DG114" s="1" t="s">
        <v>2931</v>
      </c>
      <c r="DH114" s="1">
        <f t="shared" si="7"/>
        <v>0</v>
      </c>
      <c r="DI114" s="1" t="s">
        <v>2966</v>
      </c>
      <c r="DJ114" s="170">
        <f>IF(DH114&gt;0,3,0)</f>
        <v>0</v>
      </c>
      <c r="DK114" s="182"/>
      <c r="DM114" s="2"/>
      <c r="DN114" s="37" t="s">
        <v>3385</v>
      </c>
      <c r="DO114" s="37" t="s">
        <v>3385</v>
      </c>
      <c r="DP114" s="37" t="s">
        <v>3382</v>
      </c>
      <c r="DQ114" s="37" t="s">
        <v>3383</v>
      </c>
      <c r="DR114" s="37" t="s">
        <v>955</v>
      </c>
      <c r="DS114" s="22"/>
      <c r="DT114" s="6"/>
      <c r="DZ114" s="48"/>
      <c r="EL114" s="3"/>
      <c r="EM114" s="3"/>
      <c r="EU114" s="301" t="s">
        <v>3240</v>
      </c>
      <c r="EV114" s="57" t="s">
        <v>2710</v>
      </c>
      <c r="FK114" s="135"/>
      <c r="FY114" s="2"/>
      <c r="FZ114" s="37" t="s">
        <v>3220</v>
      </c>
      <c r="GA114" s="37" t="s">
        <v>3220</v>
      </c>
      <c r="GB114" s="37" t="s">
        <v>3220</v>
      </c>
      <c r="GC114" s="37" t="s">
        <v>3917</v>
      </c>
      <c r="GD114" s="37" t="s">
        <v>876</v>
      </c>
      <c r="GF114" s="22"/>
      <c r="GL114" s="48"/>
      <c r="GV114" s="128"/>
      <c r="GW114" s="128"/>
      <c r="HJ114" s="48"/>
      <c r="HK114" s="170"/>
      <c r="HM114" s="1" t="s">
        <v>3688</v>
      </c>
      <c r="HN114" s="170">
        <f>HN113+HN112+HN110+HN111</f>
        <v>0</v>
      </c>
      <c r="IB114" s="170"/>
      <c r="IG114" s="1"/>
      <c r="IH114" s="1"/>
      <c r="II114" s="1"/>
      <c r="IJ114" s="1"/>
      <c r="IK114" s="1"/>
      <c r="IL114" s="1"/>
      <c r="IM114" s="1"/>
      <c r="IN114" s="178"/>
      <c r="IO114" s="1"/>
      <c r="IP114" s="1"/>
      <c r="IQ114" s="1"/>
      <c r="IR114" s="1"/>
      <c r="IS114" s="37">
        <v>4</v>
      </c>
      <c r="IT114" s="37" t="s">
        <v>3913</v>
      </c>
      <c r="IU114" s="37" t="str">
        <f>JA92</f>
        <v>0 κκκκκ0</v>
      </c>
      <c r="IV114" s="1"/>
      <c r="IW114" s="1"/>
      <c r="IX114" s="1"/>
      <c r="IY114" s="1"/>
      <c r="IZ114" s="1"/>
      <c r="JA114" s="1"/>
      <c r="JB114" s="1"/>
      <c r="JC114" s="178"/>
      <c r="JD114" s="135"/>
    </row>
    <row r="115" spans="9:264">
      <c r="I115" s="22"/>
      <c r="J115" s="156" t="s">
        <v>366</v>
      </c>
      <c r="K115" s="156" t="s">
        <v>366</v>
      </c>
      <c r="L115" s="22">
        <v>20</v>
      </c>
      <c r="M115" s="22">
        <v>46</v>
      </c>
      <c r="N115" s="22">
        <v>39.200000000000003</v>
      </c>
      <c r="O115" s="22">
        <v>16</v>
      </c>
      <c r="P115" s="22">
        <v>7</v>
      </c>
      <c r="Q115" s="22">
        <v>27</v>
      </c>
      <c r="R115" s="22" t="s">
        <v>367</v>
      </c>
      <c r="S115" s="22" t="s">
        <v>368</v>
      </c>
      <c r="AB115" s="5"/>
      <c r="AI115" s="3"/>
      <c r="AJ115" s="3"/>
      <c r="AK115" s="3"/>
      <c r="AL115" s="3"/>
      <c r="AM115" s="3"/>
      <c r="AN115" s="3"/>
      <c r="AO115" s="3"/>
      <c r="AP115" s="428" t="s">
        <v>3514</v>
      </c>
      <c r="AQ115" s="411" t="str">
        <f>BS147</f>
        <v/>
      </c>
      <c r="AR115" s="430"/>
      <c r="AS115" s="356"/>
      <c r="AT115" s="356"/>
      <c r="AU115" s="356"/>
      <c r="AV115" s="3"/>
      <c r="AW115" s="3"/>
      <c r="AX115" s="3"/>
      <c r="AY115" s="3"/>
      <c r="AZ115" s="3"/>
      <c r="BA115" s="3"/>
      <c r="BB115" s="3"/>
      <c r="BC115" s="3"/>
      <c r="BD115" s="97"/>
      <c r="BN115" s="97"/>
      <c r="BO115" s="166"/>
      <c r="BR115" s="235"/>
      <c r="CJ115" s="123"/>
      <c r="CK115" s="38" t="s">
        <v>3032</v>
      </c>
      <c r="CL115" s="128">
        <f>CL112+CL113+CL114</f>
        <v>3</v>
      </c>
      <c r="CM115" s="127"/>
      <c r="CN115" s="38" t="s">
        <v>3032</v>
      </c>
      <c r="CO115" s="128">
        <f>CO112+CO113+CO114</f>
        <v>3</v>
      </c>
      <c r="CP115" s="127"/>
      <c r="CQ115" s="6"/>
      <c r="CR115" s="138"/>
      <c r="CS115" s="38" t="s">
        <v>3084</v>
      </c>
      <c r="CT115" s="127"/>
      <c r="CW115" s="170"/>
      <c r="CY115" s="275" t="s">
        <v>3097</v>
      </c>
      <c r="CZ115" s="131"/>
      <c r="DC115" s="182"/>
      <c r="DE115" s="1" t="s">
        <v>2967</v>
      </c>
      <c r="DF115" s="404">
        <f>IF(DF107&lt;3,DF107,0)</f>
        <v>0</v>
      </c>
      <c r="DG115" s="1" t="s">
        <v>2931</v>
      </c>
      <c r="DH115" s="1">
        <f t="shared" si="7"/>
        <v>0</v>
      </c>
      <c r="DI115" s="1" t="s">
        <v>2968</v>
      </c>
      <c r="DJ115" s="170">
        <f>IF(DH115&gt;0,2,0)</f>
        <v>0</v>
      </c>
      <c r="DK115" s="182"/>
      <c r="DM115" s="2"/>
      <c r="DN115" s="37" t="s">
        <v>954</v>
      </c>
      <c r="DO115" s="37" t="s">
        <v>954</v>
      </c>
      <c r="DP115" s="37" t="s">
        <v>3382</v>
      </c>
      <c r="DQ115" s="37" t="s">
        <v>3383</v>
      </c>
      <c r="DR115" s="37" t="s">
        <v>955</v>
      </c>
      <c r="DS115" s="22"/>
      <c r="DT115" s="6"/>
      <c r="DZ115" s="48"/>
      <c r="EL115" s="3"/>
      <c r="EM115" s="3"/>
      <c r="FK115" s="135"/>
      <c r="FY115" s="2"/>
      <c r="FZ115" s="37" t="s">
        <v>3381</v>
      </c>
      <c r="GA115" s="37" t="s">
        <v>3381</v>
      </c>
      <c r="GB115" s="37" t="s">
        <v>3382</v>
      </c>
      <c r="GC115" s="37" t="s">
        <v>3921</v>
      </c>
      <c r="GD115" s="37" t="s">
        <v>960</v>
      </c>
      <c r="GF115" s="22"/>
      <c r="GL115" s="48"/>
      <c r="GV115" s="128"/>
      <c r="GW115" s="128"/>
      <c r="HJ115" s="48"/>
      <c r="HK115" s="170"/>
      <c r="HM115" s="191">
        <v>16</v>
      </c>
      <c r="IB115" s="170"/>
      <c r="IG115" s="1"/>
      <c r="IH115" s="1"/>
      <c r="II115" s="1"/>
      <c r="IJ115" s="1"/>
      <c r="IK115" s="1"/>
      <c r="IL115" s="1"/>
      <c r="IM115" s="1"/>
      <c r="IN115" s="178"/>
      <c r="IO115" s="1"/>
      <c r="IR115" s="1"/>
      <c r="IS115" s="37">
        <v>5</v>
      </c>
      <c r="IT115" s="37" t="s">
        <v>4049</v>
      </c>
      <c r="IU115" s="37" t="str">
        <f>IQ99</f>
        <v>0 0</v>
      </c>
      <c r="IV115" s="1"/>
      <c r="IW115" s="1"/>
      <c r="IX115" s="1"/>
      <c r="IY115" s="1"/>
      <c r="IZ115" s="1"/>
      <c r="JA115" s="1"/>
      <c r="JB115" s="1"/>
      <c r="JC115" s="178"/>
      <c r="JD115" s="135"/>
    </row>
    <row r="116" spans="9:264" ht="20.25">
      <c r="I116" s="22"/>
      <c r="J116" s="156" t="s">
        <v>369</v>
      </c>
      <c r="K116" s="156" t="s">
        <v>369</v>
      </c>
      <c r="L116" s="22">
        <v>20</v>
      </c>
      <c r="M116" s="22">
        <v>43</v>
      </c>
      <c r="N116" s="22">
        <v>27.5</v>
      </c>
      <c r="O116" s="22">
        <v>15</v>
      </c>
      <c r="P116" s="22">
        <v>4</v>
      </c>
      <c r="Q116" s="22">
        <v>28</v>
      </c>
      <c r="R116" s="22" t="s">
        <v>370</v>
      </c>
      <c r="S116" s="22" t="s">
        <v>371</v>
      </c>
      <c r="AB116" s="5"/>
      <c r="AI116" s="3"/>
      <c r="AJ116" s="3"/>
      <c r="AK116" s="3"/>
      <c r="AL116" s="3"/>
      <c r="AM116" s="3"/>
      <c r="AN116" s="3"/>
      <c r="AO116" s="3"/>
      <c r="AP116" s="358"/>
      <c r="AQ116" s="431" t="str">
        <f>BS146</f>
        <v/>
      </c>
      <c r="AR116" s="443" t="str">
        <f>BS144</f>
        <v/>
      </c>
      <c r="AS116" s="429"/>
      <c r="AT116" s="357" t="str">
        <f>BS145</f>
        <v/>
      </c>
      <c r="AU116" s="356"/>
      <c r="AV116" s="3"/>
      <c r="AW116" s="3"/>
      <c r="AX116" s="3"/>
      <c r="AY116" s="3"/>
      <c r="AZ116" s="3"/>
      <c r="BA116" s="3"/>
      <c r="BB116" s="3"/>
      <c r="BC116" s="3"/>
      <c r="BD116" s="97"/>
      <c r="BN116" s="97"/>
      <c r="BO116" s="166"/>
      <c r="BP116" s="97"/>
      <c r="BQ116" s="97"/>
      <c r="BR116" s="250"/>
      <c r="BS116" s="97"/>
      <c r="BT116" s="97"/>
      <c r="BU116" s="251" t="s">
        <v>3101</v>
      </c>
      <c r="BV116" s="97"/>
      <c r="BW116" s="97"/>
      <c r="BX116" s="97"/>
      <c r="BY116" s="97"/>
      <c r="BZ116" s="97"/>
      <c r="CA116" s="97"/>
      <c r="CB116" s="97"/>
      <c r="CC116" s="97"/>
      <c r="CD116" s="97"/>
      <c r="CE116" s="97"/>
      <c r="CF116" s="97"/>
      <c r="CG116" s="97"/>
      <c r="CH116" s="97"/>
      <c r="CI116" s="97"/>
      <c r="CJ116" s="123"/>
      <c r="CK116" s="134" t="s">
        <v>3033</v>
      </c>
      <c r="CL116" s="209">
        <f>IF(CL115=3,1,0)</f>
        <v>1</v>
      </c>
      <c r="CM116" s="127"/>
      <c r="CN116" s="134" t="s">
        <v>3033</v>
      </c>
      <c r="CO116" s="209">
        <f>IF(CO115=3,1,0)</f>
        <v>1</v>
      </c>
      <c r="CP116" s="127"/>
      <c r="CQ116" s="6"/>
      <c r="CR116" s="138"/>
      <c r="CS116" s="38" t="s">
        <v>2856</v>
      </c>
      <c r="CT116" s="230">
        <f>CO147</f>
        <v>6</v>
      </c>
      <c r="CW116" s="170"/>
      <c r="CY116" s="150" t="s">
        <v>3265</v>
      </c>
      <c r="CZ116" s="73"/>
      <c r="DC116" s="182"/>
      <c r="DE116" s="1" t="s">
        <v>2969</v>
      </c>
      <c r="DF116" s="404">
        <f>IF(DF107&lt;2,DF107,0)</f>
        <v>0</v>
      </c>
      <c r="DG116" s="1" t="s">
        <v>2931</v>
      </c>
      <c r="DH116" s="1">
        <f t="shared" si="7"/>
        <v>0</v>
      </c>
      <c r="DI116" s="1" t="s">
        <v>2970</v>
      </c>
      <c r="DJ116" s="170">
        <f>IF(DH116&gt;0,1,0)</f>
        <v>0</v>
      </c>
      <c r="DK116" s="182"/>
      <c r="DM116" s="2"/>
      <c r="DN116" s="37" t="s">
        <v>3386</v>
      </c>
      <c r="DO116" s="37" t="s">
        <v>3386</v>
      </c>
      <c r="DP116" s="37" t="s">
        <v>3221</v>
      </c>
      <c r="DQ116" s="37" t="s">
        <v>3387</v>
      </c>
      <c r="DR116" s="37" t="s">
        <v>973</v>
      </c>
      <c r="DS116" s="22"/>
      <c r="DT116" s="6"/>
      <c r="DZ116" s="48"/>
      <c r="EL116" s="3"/>
      <c r="EM116" s="3"/>
      <c r="FK116" s="135"/>
      <c r="FY116" s="2"/>
      <c r="FZ116" s="37" t="s">
        <v>956</v>
      </c>
      <c r="GA116" s="37" t="s">
        <v>956</v>
      </c>
      <c r="GB116" s="37" t="s">
        <v>3382</v>
      </c>
      <c r="GC116" s="37" t="s">
        <v>3921</v>
      </c>
      <c r="GD116" s="37" t="s">
        <v>960</v>
      </c>
      <c r="GF116" s="22"/>
      <c r="GL116" s="48"/>
      <c r="GV116" s="128"/>
      <c r="GW116" s="128"/>
      <c r="HJ116" s="48"/>
      <c r="HK116" s="170"/>
      <c r="HM116" s="1" t="s">
        <v>3920</v>
      </c>
      <c r="IB116" s="170"/>
      <c r="IG116" s="1"/>
      <c r="IH116" s="1"/>
      <c r="II116" s="1"/>
      <c r="IJ116" s="1"/>
      <c r="IK116" s="1"/>
      <c r="IL116" s="1"/>
      <c r="IM116" s="1"/>
      <c r="IN116" s="178"/>
      <c r="IO116" s="1"/>
      <c r="IP116" s="1"/>
      <c r="IQ116" s="1"/>
      <c r="IR116" s="1"/>
      <c r="IS116" s="37">
        <v>6</v>
      </c>
      <c r="IT116" s="37"/>
      <c r="IU116" s="37"/>
      <c r="IV116" s="1"/>
      <c r="IW116" s="1"/>
      <c r="IX116" s="1"/>
      <c r="IY116" s="1"/>
      <c r="IZ116" s="1"/>
      <c r="JA116" s="1"/>
      <c r="JB116" s="1"/>
      <c r="JC116" s="178"/>
      <c r="JD116" s="135"/>
    </row>
    <row r="117" spans="9:264">
      <c r="I117" s="22"/>
      <c r="J117" s="156" t="s">
        <v>372</v>
      </c>
      <c r="K117" s="156" t="s">
        <v>372</v>
      </c>
      <c r="L117" s="22">
        <v>20</v>
      </c>
      <c r="M117" s="22">
        <v>33</v>
      </c>
      <c r="N117" s="22">
        <v>12.8</v>
      </c>
      <c r="O117" s="22">
        <v>11</v>
      </c>
      <c r="P117" s="22">
        <v>18</v>
      </c>
      <c r="Q117" s="22">
        <v>12</v>
      </c>
      <c r="R117" s="22" t="s">
        <v>373</v>
      </c>
      <c r="S117" s="22" t="s">
        <v>374</v>
      </c>
      <c r="AB117" s="5"/>
      <c r="AI117" s="3"/>
      <c r="AJ117" s="3"/>
      <c r="AK117" s="3"/>
      <c r="AL117" s="3"/>
      <c r="AM117" s="3"/>
      <c r="AN117" s="3"/>
      <c r="AO117" s="3"/>
      <c r="AP117" s="346" t="s">
        <v>2793</v>
      </c>
      <c r="AQ117" s="3"/>
      <c r="AR117" s="346"/>
      <c r="AS117" s="346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97"/>
      <c r="BN117" s="97"/>
      <c r="BO117" s="166"/>
      <c r="BP117" s="308" t="s">
        <v>3173</v>
      </c>
      <c r="BQ117" s="206" t="s">
        <v>2872</v>
      </c>
      <c r="BR117" s="188"/>
      <c r="BS117" s="245" t="s">
        <v>2794</v>
      </c>
      <c r="BT117" s="309"/>
      <c r="BU117" s="310" t="s">
        <v>2798</v>
      </c>
      <c r="BV117" s="310"/>
      <c r="BW117" s="310"/>
      <c r="BX117" s="311"/>
      <c r="BY117" s="308" t="s">
        <v>3173</v>
      </c>
      <c r="BZ117" s="309" t="s">
        <v>2872</v>
      </c>
      <c r="CA117" s="311"/>
      <c r="CB117" s="242" t="s">
        <v>2823</v>
      </c>
      <c r="CC117" s="309"/>
      <c r="CD117" s="310" t="s">
        <v>2798</v>
      </c>
      <c r="CE117" s="310"/>
      <c r="CF117" s="310"/>
      <c r="CG117" s="310"/>
      <c r="CH117" s="311"/>
      <c r="CJ117" s="123"/>
      <c r="CK117" s="38" t="s">
        <v>3038</v>
      </c>
      <c r="CL117" s="209">
        <f>CL116+CL110</f>
        <v>2</v>
      </c>
      <c r="CM117" s="127"/>
      <c r="CN117" s="38" t="s">
        <v>3038</v>
      </c>
      <c r="CO117" s="209">
        <f>CO116+CO110</f>
        <v>2</v>
      </c>
      <c r="CP117" s="127"/>
      <c r="CQ117" s="6"/>
      <c r="CR117" s="138"/>
      <c r="CS117" s="38" t="s">
        <v>3085</v>
      </c>
      <c r="CT117" s="180" t="str">
        <f>IF(CT116=0,CT96,"")</f>
        <v/>
      </c>
      <c r="CW117" s="170"/>
      <c r="CY117" s="1" t="s">
        <v>3258</v>
      </c>
      <c r="CZ117" s="73">
        <f>IF(CZ47=720,8,0)</f>
        <v>0</v>
      </c>
      <c r="DC117" s="182"/>
      <c r="DE117" s="1" t="s">
        <v>2971</v>
      </c>
      <c r="DF117" s="404">
        <f>IF(DF107&lt;1,DF107,0)</f>
        <v>0</v>
      </c>
      <c r="DG117" s="1" t="s">
        <v>2972</v>
      </c>
      <c r="DH117" s="406">
        <f>DF107-DJ117</f>
        <v>0</v>
      </c>
      <c r="DI117" s="1" t="s">
        <v>2973</v>
      </c>
      <c r="DJ117" s="406">
        <f>DJ108+DJ109+DJ110+DJ111+DJ112+DJ113+DJ114+DJ115+DJ116</f>
        <v>0</v>
      </c>
      <c r="DK117" s="182"/>
      <c r="DM117" s="2"/>
      <c r="DN117" s="37" t="s">
        <v>972</v>
      </c>
      <c r="DO117" s="37" t="s">
        <v>972</v>
      </c>
      <c r="DP117" s="37" t="s">
        <v>3221</v>
      </c>
      <c r="DQ117" s="37" t="s">
        <v>3387</v>
      </c>
      <c r="DR117" s="37" t="s">
        <v>973</v>
      </c>
      <c r="DS117" s="22"/>
      <c r="DT117" s="6"/>
      <c r="DZ117" s="48"/>
      <c r="ED117" s="1" t="s">
        <v>3599</v>
      </c>
      <c r="EL117" s="3"/>
      <c r="EM117" s="3"/>
      <c r="FK117" s="135"/>
      <c r="FY117" s="2"/>
      <c r="FZ117" s="37" t="s">
        <v>3384</v>
      </c>
      <c r="GA117" s="37" t="s">
        <v>3384</v>
      </c>
      <c r="GB117" s="37" t="s">
        <v>3382</v>
      </c>
      <c r="GC117" s="37" t="s">
        <v>3921</v>
      </c>
      <c r="GD117" s="37" t="s">
        <v>960</v>
      </c>
      <c r="GF117" s="22"/>
      <c r="GL117" s="48"/>
      <c r="GV117" s="128"/>
      <c r="GW117" s="128"/>
      <c r="HJ117" s="48"/>
      <c r="HK117" s="170"/>
      <c r="HM117" s="1" t="s">
        <v>3722</v>
      </c>
      <c r="HN117" s="1">
        <f>IF(HN19=HM117,16,0)</f>
        <v>0</v>
      </c>
      <c r="IB117" s="170"/>
      <c r="IG117" s="1"/>
      <c r="IH117" s="1"/>
      <c r="II117" s="1"/>
      <c r="IJ117" s="1"/>
      <c r="IK117" s="1"/>
      <c r="IL117" s="1"/>
      <c r="IM117" s="1"/>
      <c r="IN117" s="178"/>
      <c r="IO117" s="1"/>
      <c r="IP117" s="1"/>
      <c r="IQ117" s="1"/>
      <c r="IR117" s="1"/>
      <c r="IS117" s="37">
        <v>7</v>
      </c>
      <c r="IT117" s="37"/>
      <c r="IU117" s="37"/>
      <c r="IV117" s="1"/>
      <c r="IW117" s="1"/>
      <c r="IX117" s="1"/>
      <c r="IY117" s="1"/>
      <c r="IZ117" s="1"/>
      <c r="JA117" s="1"/>
      <c r="JB117" s="1"/>
      <c r="JC117" s="178"/>
      <c r="JD117" s="135"/>
    </row>
    <row r="118" spans="9:264">
      <c r="I118" s="22"/>
      <c r="J118" s="156" t="s">
        <v>375</v>
      </c>
      <c r="K118" s="156" t="s">
        <v>375</v>
      </c>
      <c r="L118" s="22">
        <v>20</v>
      </c>
      <c r="M118" s="22">
        <v>35</v>
      </c>
      <c r="N118" s="22">
        <v>18.5</v>
      </c>
      <c r="O118" s="22">
        <v>14</v>
      </c>
      <c r="P118" s="22">
        <v>40</v>
      </c>
      <c r="Q118" s="22">
        <v>27</v>
      </c>
      <c r="R118" s="22" t="s">
        <v>376</v>
      </c>
      <c r="S118" s="22" t="s">
        <v>377</v>
      </c>
      <c r="AB118" s="5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97"/>
      <c r="BN118" s="97"/>
      <c r="BO118" s="166"/>
      <c r="BP118" s="286">
        <f>BS62</f>
        <v>1</v>
      </c>
      <c r="BQ118" s="239" t="s">
        <v>10</v>
      </c>
      <c r="BR118" s="239" t="s">
        <v>3100</v>
      </c>
      <c r="BS118" s="239" t="s">
        <v>2858</v>
      </c>
      <c r="BT118" s="287" t="s">
        <v>3165</v>
      </c>
      <c r="BU118" s="299" t="s">
        <v>13</v>
      </c>
      <c r="BV118" s="299" t="s">
        <v>11</v>
      </c>
      <c r="BW118" s="299" t="s">
        <v>2858</v>
      </c>
      <c r="BX118" s="288" t="s">
        <v>3165</v>
      </c>
      <c r="BY118" s="65">
        <f>CA62</f>
        <v>1</v>
      </c>
      <c r="BZ118" s="266" t="s">
        <v>10</v>
      </c>
      <c r="CA118" s="241" t="s">
        <v>3100</v>
      </c>
      <c r="CB118" s="241" t="s">
        <v>2858</v>
      </c>
      <c r="CC118" s="289" t="s">
        <v>3165</v>
      </c>
      <c r="CD118" s="300" t="s">
        <v>13</v>
      </c>
      <c r="CE118" s="300" t="s">
        <v>11</v>
      </c>
      <c r="CF118" s="300" t="s">
        <v>2858</v>
      </c>
      <c r="CG118" s="289" t="s">
        <v>3165</v>
      </c>
      <c r="CH118" s="301" t="s">
        <v>2866</v>
      </c>
      <c r="CJ118" s="123"/>
      <c r="CK118" s="38" t="s">
        <v>3039</v>
      </c>
      <c r="CL118" s="207" t="str">
        <f>IF(CL117=0,"Βρέθηκαν διαφορετικά πρόσημα!!!","")</f>
        <v/>
      </c>
      <c r="CM118" s="127"/>
      <c r="CN118" s="38" t="s">
        <v>3039</v>
      </c>
      <c r="CO118" s="207" t="str">
        <f>IF(CO117=0,"Βρέθηκαν διαφορετικά πρόσημα!!!","")</f>
        <v/>
      </c>
      <c r="CP118" s="127"/>
      <c r="CQ118" s="6"/>
      <c r="CR118" s="138"/>
      <c r="CS118" s="95" t="s">
        <v>3086</v>
      </c>
      <c r="CT118" s="180" t="str">
        <f>IF(CT116=0,CT107,"")</f>
        <v/>
      </c>
      <c r="CW118" s="170"/>
      <c r="CY118" s="1" t="s">
        <v>3259</v>
      </c>
      <c r="CZ118" s="236">
        <f>IF(CZ47=-720,8,0)</f>
        <v>0</v>
      </c>
      <c r="DC118" s="182"/>
      <c r="DK118" s="182"/>
      <c r="DM118" s="2"/>
      <c r="DN118" s="37" t="s">
        <v>3388</v>
      </c>
      <c r="DO118" s="37" t="s">
        <v>3388</v>
      </c>
      <c r="DP118" s="37" t="s">
        <v>3221</v>
      </c>
      <c r="DQ118" s="37" t="s">
        <v>3387</v>
      </c>
      <c r="DR118" s="37" t="s">
        <v>973</v>
      </c>
      <c r="DS118" s="22"/>
      <c r="DT118" s="6"/>
      <c r="DZ118" s="48"/>
      <c r="ED118" s="1" t="s">
        <v>3600</v>
      </c>
      <c r="EL118" s="3"/>
      <c r="EM118" s="3"/>
      <c r="FK118" s="135"/>
      <c r="FY118" s="2"/>
      <c r="FZ118" s="37" t="s">
        <v>3385</v>
      </c>
      <c r="GA118" s="37" t="s">
        <v>3385</v>
      </c>
      <c r="GB118" s="37" t="s">
        <v>3382</v>
      </c>
      <c r="GC118" s="37" t="s">
        <v>3921</v>
      </c>
      <c r="GD118" s="37" t="s">
        <v>960</v>
      </c>
      <c r="GF118" s="22"/>
      <c r="GL118" s="48"/>
      <c r="GV118" s="128"/>
      <c r="GW118" s="128"/>
      <c r="HJ118" s="48"/>
      <c r="HK118" s="170"/>
      <c r="HM118" s="1" t="s">
        <v>3922</v>
      </c>
      <c r="HN118" s="1">
        <f>IF(HN19=HM118,16,0)</f>
        <v>0</v>
      </c>
      <c r="IB118" s="170"/>
      <c r="IG118" s="1"/>
      <c r="IH118" s="1"/>
      <c r="II118" s="1"/>
      <c r="IJ118" s="1"/>
      <c r="IK118" s="1"/>
      <c r="IL118" s="1"/>
      <c r="IM118" s="1"/>
      <c r="IN118" s="178"/>
      <c r="IO118" s="1"/>
      <c r="IP118" s="1"/>
      <c r="IQ118" s="1"/>
      <c r="IR118" s="1"/>
      <c r="IS118" s="37">
        <v>8</v>
      </c>
      <c r="IT118" s="37"/>
      <c r="IU118" s="37"/>
      <c r="IV118" s="1"/>
      <c r="IW118" s="1"/>
      <c r="IX118" s="1"/>
      <c r="IY118" s="1"/>
      <c r="IZ118" s="1"/>
      <c r="JA118" s="1"/>
      <c r="JB118" s="1"/>
      <c r="JC118" s="178"/>
      <c r="JD118" s="135"/>
    </row>
    <row r="119" spans="9:264">
      <c r="I119" s="24" t="s">
        <v>378</v>
      </c>
      <c r="J119" s="157" t="s">
        <v>379</v>
      </c>
      <c r="K119" s="157" t="s">
        <v>379</v>
      </c>
      <c r="L119" s="24" t="s">
        <v>39</v>
      </c>
      <c r="M119" s="24" t="s">
        <v>378</v>
      </c>
      <c r="N119" s="24" t="s">
        <v>378</v>
      </c>
      <c r="O119" s="24" t="s">
        <v>40</v>
      </c>
      <c r="P119" s="24" t="s">
        <v>380</v>
      </c>
      <c r="Q119" s="24" t="s">
        <v>381</v>
      </c>
      <c r="R119" s="24" t="s">
        <v>382</v>
      </c>
      <c r="S119" s="24" t="s">
        <v>380</v>
      </c>
      <c r="AB119" s="5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97"/>
      <c r="BN119" s="97"/>
      <c r="BO119" s="166"/>
      <c r="BQ119" s="65" t="str">
        <f>LOOKUP(BP118,(BR47:BR50),(BS47:BS50))</f>
        <v/>
      </c>
      <c r="BR119" s="65" t="str">
        <f ca="1">LOOKUP(BP118,(BR47:BR50),(BT47:BT48))</f>
        <v/>
      </c>
      <c r="BS119" s="65" t="str">
        <f>LOOKUP(BP118,(BR47:BR50),(BU47:BU50))</f>
        <v/>
      </c>
      <c r="BT119" s="312" t="str">
        <f>IF(BP118=2,BS69,BS65)</f>
        <v/>
      </c>
      <c r="BU119" s="65" t="str">
        <f>LOOKUP(BP118,(BR47:BR50),(BV47:BV50))</f>
        <v/>
      </c>
      <c r="BV119" s="65" t="str">
        <f>LOOKUP(BP118,(BR47:BR50),(BW47:BW50))</f>
        <v/>
      </c>
      <c r="BW119" s="65" t="str">
        <f>LOOKUP(BP118,(BR47:BR50),(BX47:BX50))</f>
        <v/>
      </c>
      <c r="BX119" s="312" t="str">
        <f>IF(BP118=2,BS70,BS66)</f>
        <v/>
      </c>
      <c r="BZ119" s="65" t="str">
        <f>LOOKUP(BY118,(BR47:BR50),(BY47:BY50))</f>
        <v/>
      </c>
      <c r="CA119" s="65" t="str">
        <f>LOOKUP(BY118,(BR47:BR50),(BZ47:BZ50))</f>
        <v/>
      </c>
      <c r="CB119" s="65" t="str">
        <f>LOOKUP(BY118,(BR47:BR50),(CA47:CA50))</f>
        <v/>
      </c>
      <c r="CC119" s="312" t="str">
        <f>IF(BY118=2,CA69,CA65)</f>
        <v/>
      </c>
      <c r="CD119" s="65" t="str">
        <f>LOOKUP(BY118,(BR47:BR50),(CB47:CB50))</f>
        <v/>
      </c>
      <c r="CE119" s="65" t="str">
        <f>LOOKUP(BY118,(BR47:BR50),(CC47:CC50))</f>
        <v/>
      </c>
      <c r="CF119" s="65" t="str">
        <f>LOOKUP(BY118,(BR47:BR50),(CD47:CD50))</f>
        <v/>
      </c>
      <c r="CG119" s="312" t="str">
        <f>IF(BY118=2,CA70,CA66)</f>
        <v/>
      </c>
      <c r="CH119" s="65">
        <f>BF63</f>
        <v>2000</v>
      </c>
      <c r="CJ119" s="123"/>
      <c r="CK119" s="255"/>
      <c r="CL119" s="256"/>
      <c r="CM119" s="80"/>
      <c r="CN119" s="254"/>
      <c r="CO119" s="132"/>
      <c r="CP119" s="127"/>
      <c r="CQ119" s="6"/>
      <c r="CR119" s="138"/>
      <c r="CW119" s="170"/>
      <c r="CY119" s="1" t="s">
        <v>3260</v>
      </c>
      <c r="CZ119" s="200">
        <f>CZ117+CZ118</f>
        <v>0</v>
      </c>
      <c r="DC119" s="182"/>
      <c r="DE119" s="196" t="s">
        <v>2974</v>
      </c>
      <c r="DF119" s="197"/>
      <c r="DG119" s="108" t="s">
        <v>2975</v>
      </c>
      <c r="DI119" s="108" t="s">
        <v>2976</v>
      </c>
      <c r="DK119" s="182"/>
      <c r="DM119" s="2"/>
      <c r="DN119" s="37" t="s">
        <v>3221</v>
      </c>
      <c r="DO119" s="37" t="s">
        <v>3221</v>
      </c>
      <c r="DP119" s="37" t="s">
        <v>3221</v>
      </c>
      <c r="DQ119" s="37" t="s">
        <v>3387</v>
      </c>
      <c r="DR119" s="37" t="s">
        <v>973</v>
      </c>
      <c r="DS119" s="22"/>
      <c r="DT119" s="6"/>
      <c r="DZ119" s="48"/>
      <c r="ED119" s="1" t="s">
        <v>3601</v>
      </c>
      <c r="EL119" s="3"/>
      <c r="EM119" s="3"/>
      <c r="FK119" s="135"/>
      <c r="FY119" s="2"/>
      <c r="FZ119" s="37" t="s">
        <v>954</v>
      </c>
      <c r="GA119" s="37" t="s">
        <v>954</v>
      </c>
      <c r="GB119" s="37" t="s">
        <v>3382</v>
      </c>
      <c r="GC119" s="37" t="s">
        <v>3921</v>
      </c>
      <c r="GD119" s="37" t="s">
        <v>960</v>
      </c>
      <c r="GF119" s="22"/>
      <c r="GL119" s="48"/>
      <c r="GV119" s="128"/>
      <c r="GW119" s="128"/>
      <c r="HJ119" s="48"/>
      <c r="HK119" s="170"/>
      <c r="HM119" s="1" t="s">
        <v>3688</v>
      </c>
      <c r="HN119" s="170">
        <f>HN117+HN118</f>
        <v>0</v>
      </c>
      <c r="IB119" s="170"/>
      <c r="IG119" s="1"/>
      <c r="IH119" s="1"/>
      <c r="II119" s="1"/>
      <c r="IJ119" s="1"/>
      <c r="IK119" s="1"/>
      <c r="IL119" s="1"/>
      <c r="IM119" s="1"/>
      <c r="IN119" s="178"/>
      <c r="IO119" s="1"/>
      <c r="IP119" s="1"/>
      <c r="IQ119" s="1"/>
      <c r="IR119" s="1"/>
      <c r="IS119" s="37">
        <v>9</v>
      </c>
      <c r="IT119" s="37"/>
      <c r="IU119" s="37"/>
      <c r="IV119" s="1"/>
      <c r="IW119" s="1"/>
      <c r="IX119" s="1"/>
      <c r="IY119" s="1"/>
      <c r="IZ119" s="1"/>
      <c r="JA119" s="1"/>
      <c r="JB119" s="1"/>
      <c r="JC119" s="178"/>
      <c r="JD119" s="135"/>
    </row>
    <row r="120" spans="9:264">
      <c r="I120" s="22"/>
      <c r="J120" s="156" t="s">
        <v>383</v>
      </c>
      <c r="K120" s="156" t="s">
        <v>383</v>
      </c>
      <c r="L120" s="22">
        <v>7</v>
      </c>
      <c r="M120" s="22">
        <v>34</v>
      </c>
      <c r="N120" s="22">
        <v>36</v>
      </c>
      <c r="O120" s="22">
        <v>31</v>
      </c>
      <c r="P120" s="22">
        <v>53</v>
      </c>
      <c r="Q120" s="22">
        <v>18</v>
      </c>
      <c r="R120" s="22" t="s">
        <v>384</v>
      </c>
      <c r="S120" s="23" t="s">
        <v>385</v>
      </c>
      <c r="AB120" s="5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97"/>
      <c r="BN120" s="97"/>
      <c r="BO120" s="166"/>
      <c r="BR120" s="168" t="s">
        <v>2895</v>
      </c>
      <c r="BS120" s="109" t="str">
        <f>AC48</f>
        <v/>
      </c>
      <c r="CA120" s="168" t="s">
        <v>2895</v>
      </c>
      <c r="CB120" s="109" t="str">
        <f>AC76</f>
        <v/>
      </c>
      <c r="CC120" s="313" t="s">
        <v>3165</v>
      </c>
      <c r="CJ120" s="123"/>
      <c r="CK120" s="140"/>
      <c r="CL120" s="125"/>
      <c r="CM120" s="126"/>
      <c r="CN120" s="140"/>
      <c r="CO120" s="125"/>
      <c r="CP120" s="126"/>
      <c r="CQ120" s="6"/>
      <c r="CR120" s="138"/>
      <c r="CS120" s="1" t="s">
        <v>3090</v>
      </c>
      <c r="CW120" s="170"/>
      <c r="CY120" s="1" t="s">
        <v>3261</v>
      </c>
      <c r="CZ120" s="235"/>
      <c r="DC120" s="182"/>
      <c r="DE120" s="6" t="s">
        <v>2977</v>
      </c>
      <c r="DF120" s="6"/>
      <c r="DG120" s="108" t="s">
        <v>2981</v>
      </c>
      <c r="DI120" s="1" t="s">
        <v>3274</v>
      </c>
      <c r="DJ120" s="406">
        <f>60*DH129</f>
        <v>0</v>
      </c>
      <c r="DK120" s="182"/>
      <c r="DM120" s="2"/>
      <c r="DN120" s="37" t="s">
        <v>3389</v>
      </c>
      <c r="DO120" s="37" t="s">
        <v>3389</v>
      </c>
      <c r="DP120" s="37" t="s">
        <v>992</v>
      </c>
      <c r="DQ120" s="37" t="s">
        <v>3390</v>
      </c>
      <c r="DR120" s="37" t="s">
        <v>993</v>
      </c>
      <c r="DS120" s="22"/>
      <c r="DT120" s="6"/>
      <c r="DZ120" s="48"/>
      <c r="EL120" s="3"/>
      <c r="EM120" s="3"/>
      <c r="FK120" s="135"/>
      <c r="FY120" s="2"/>
      <c r="FZ120" s="37" t="s">
        <v>3386</v>
      </c>
      <c r="GA120" s="37" t="s">
        <v>3386</v>
      </c>
      <c r="GB120" s="37" t="s">
        <v>3221</v>
      </c>
      <c r="GC120" s="37" t="s">
        <v>3924</v>
      </c>
      <c r="GD120" s="37" t="s">
        <v>975</v>
      </c>
      <c r="GF120" s="22"/>
      <c r="GL120" s="48"/>
      <c r="GV120" s="128"/>
      <c r="GW120" s="128"/>
      <c r="HJ120" s="48"/>
      <c r="HK120" s="170"/>
      <c r="HM120" s="191">
        <v>17</v>
      </c>
      <c r="IB120" s="170"/>
      <c r="IG120" s="1"/>
      <c r="IH120" s="1"/>
      <c r="II120" s="1"/>
      <c r="IJ120" s="1"/>
      <c r="IK120" s="1"/>
      <c r="IL120" s="1"/>
      <c r="IM120" s="1"/>
      <c r="IN120" s="178"/>
      <c r="IO120" s="1"/>
      <c r="IP120" s="1"/>
      <c r="IQ120" s="1"/>
      <c r="IR120" s="1"/>
      <c r="IS120" s="107">
        <v>10</v>
      </c>
      <c r="IT120" s="107" t="s">
        <v>3919</v>
      </c>
      <c r="IU120" s="37" t="str">
        <f>IQ34</f>
        <v xml:space="preserve"> </v>
      </c>
      <c r="IV120" s="1"/>
      <c r="IW120" s="1"/>
      <c r="IX120" s="1"/>
      <c r="IY120" s="1"/>
      <c r="IZ120" s="1"/>
      <c r="JA120" s="1"/>
      <c r="JB120" s="1"/>
      <c r="JC120" s="178"/>
      <c r="JD120" s="135"/>
    </row>
    <row r="121" spans="9:264">
      <c r="I121" s="22"/>
      <c r="J121" s="156" t="s">
        <v>386</v>
      </c>
      <c r="K121" s="156" t="s">
        <v>386</v>
      </c>
      <c r="L121" s="22">
        <v>7</v>
      </c>
      <c r="M121" s="22">
        <v>45</v>
      </c>
      <c r="N121" s="22">
        <v>18.899999999999999</v>
      </c>
      <c r="O121" s="22">
        <v>28</v>
      </c>
      <c r="P121" s="22">
        <v>1</v>
      </c>
      <c r="Q121" s="22">
        <v>34</v>
      </c>
      <c r="R121" s="22" t="s">
        <v>387</v>
      </c>
      <c r="S121" s="23" t="s">
        <v>388</v>
      </c>
      <c r="AB121" s="5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97"/>
      <c r="BN121" s="97"/>
      <c r="BO121" s="166"/>
      <c r="BS121" s="109" t="str">
        <f>AC49</f>
        <v/>
      </c>
      <c r="BT121" s="313" t="s">
        <v>3165</v>
      </c>
      <c r="CB121" s="109" t="str">
        <f>AC77</f>
        <v/>
      </c>
      <c r="CC121" s="313" t="s">
        <v>3188</v>
      </c>
      <c r="CJ121" s="123"/>
      <c r="CK121" s="38"/>
      <c r="CL121" s="128"/>
      <c r="CM121" s="127"/>
      <c r="CN121" s="38"/>
      <c r="CO121" s="128"/>
      <c r="CP121" s="127"/>
      <c r="CQ121" s="6"/>
      <c r="CR121" s="138"/>
      <c r="CS121" s="186" t="s">
        <v>2930</v>
      </c>
      <c r="CW121" s="170"/>
      <c r="CY121" s="1" t="s">
        <v>3266</v>
      </c>
      <c r="CZ121" s="253" t="str">
        <f>IF(CZ119=8,"Αντιδιαμετρικοί στόχοι. Πέραν των δυνατοτήτων του προγράμματος","")</f>
        <v/>
      </c>
      <c r="DC121" s="182"/>
      <c r="DE121" s="6" t="s">
        <v>2978</v>
      </c>
      <c r="DF121" s="128"/>
      <c r="DG121" s="1" t="s">
        <v>3006</v>
      </c>
      <c r="DH121" s="1">
        <f>DF131-DH117</f>
        <v>0</v>
      </c>
      <c r="DI121" s="1" t="s">
        <v>2979</v>
      </c>
      <c r="DK121" s="182"/>
      <c r="DM121" s="2"/>
      <c r="DN121" s="37" t="s">
        <v>992</v>
      </c>
      <c r="DO121" s="37" t="s">
        <v>992</v>
      </c>
      <c r="DP121" s="37" t="s">
        <v>992</v>
      </c>
      <c r="DQ121" s="37" t="s">
        <v>3390</v>
      </c>
      <c r="DR121" s="37" t="s">
        <v>993</v>
      </c>
      <c r="DS121" s="22"/>
      <c r="DT121" s="6"/>
      <c r="DZ121" s="48"/>
      <c r="EL121" s="3"/>
      <c r="EM121" s="3"/>
      <c r="FK121" s="135"/>
      <c r="FY121" s="2"/>
      <c r="FZ121" s="37" t="s">
        <v>972</v>
      </c>
      <c r="GA121" s="37" t="s">
        <v>972</v>
      </c>
      <c r="GB121" s="37" t="s">
        <v>3221</v>
      </c>
      <c r="GC121" s="37" t="s">
        <v>3924</v>
      </c>
      <c r="GD121" s="37" t="s">
        <v>975</v>
      </c>
      <c r="GF121" s="22"/>
      <c r="GL121" s="48"/>
      <c r="GV121" s="128"/>
      <c r="GW121" s="128"/>
      <c r="HJ121" s="48"/>
      <c r="HK121" s="170"/>
      <c r="HM121" s="1" t="s">
        <v>3923</v>
      </c>
      <c r="IB121" s="170"/>
      <c r="IG121" s="1"/>
      <c r="IH121" s="1"/>
      <c r="II121" s="1"/>
      <c r="IJ121" s="1"/>
      <c r="IK121" s="1"/>
      <c r="IL121" s="1"/>
      <c r="IM121" s="1"/>
      <c r="IN121" s="178"/>
      <c r="IO121" s="1"/>
      <c r="IP121" s="1"/>
      <c r="IQ121" s="1"/>
      <c r="IR121" s="1"/>
      <c r="IS121" s="1" t="s">
        <v>3635</v>
      </c>
      <c r="IT121" s="1"/>
      <c r="IU121" s="6" t="e">
        <f>LOOKUP(IS110,(IS111:IS120),(IU111:IU120))</f>
        <v>#N/A</v>
      </c>
      <c r="IV121" s="1" t="s">
        <v>4026</v>
      </c>
      <c r="IW121" s="1"/>
      <c r="IX121" s="1"/>
      <c r="IY121" s="1"/>
      <c r="IZ121" s="1"/>
      <c r="JA121" s="1"/>
      <c r="JB121" s="1"/>
      <c r="JC121" s="178"/>
      <c r="JD121" s="135"/>
    </row>
    <row r="122" spans="9:264">
      <c r="I122" s="22"/>
      <c r="J122" s="156" t="s">
        <v>389</v>
      </c>
      <c r="K122" s="156" t="s">
        <v>389</v>
      </c>
      <c r="L122" s="22">
        <v>6</v>
      </c>
      <c r="M122" s="22">
        <v>37</v>
      </c>
      <c r="N122" s="22">
        <v>42.7</v>
      </c>
      <c r="O122" s="22">
        <v>16</v>
      </c>
      <c r="P122" s="22">
        <v>23</v>
      </c>
      <c r="Q122" s="22">
        <v>57</v>
      </c>
      <c r="R122" s="22" t="s">
        <v>390</v>
      </c>
      <c r="S122" s="22" t="s">
        <v>391</v>
      </c>
      <c r="AB122" s="5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97"/>
      <c r="BN122" s="97"/>
      <c r="BO122" s="166"/>
      <c r="BS122" s="1" t="s">
        <v>3165</v>
      </c>
      <c r="BT122" s="313" t="s">
        <v>3188</v>
      </c>
      <c r="CJ122" s="123"/>
      <c r="CK122" s="133" t="s">
        <v>2857</v>
      </c>
      <c r="CL122" s="128"/>
      <c r="CM122" s="127"/>
      <c r="CN122" s="133" t="s">
        <v>2857</v>
      </c>
      <c r="CO122" s="128"/>
      <c r="CP122" s="127"/>
      <c r="CQ122" s="6"/>
      <c r="CR122" s="138"/>
      <c r="CS122" s="1" t="s">
        <v>3091</v>
      </c>
      <c r="CW122" s="170"/>
      <c r="DC122" s="182"/>
      <c r="DE122" s="168" t="s">
        <v>2980</v>
      </c>
      <c r="DF122" s="65">
        <f>DD160</f>
        <v>0</v>
      </c>
      <c r="DG122" s="1" t="s">
        <v>2986</v>
      </c>
      <c r="DH122" s="1">
        <f>IF(DF126=1,DH121,0)</f>
        <v>0</v>
      </c>
      <c r="DI122" s="1" t="s">
        <v>2982</v>
      </c>
      <c r="DK122" s="182"/>
      <c r="DM122" s="2"/>
      <c r="DN122" s="37" t="s">
        <v>3391</v>
      </c>
      <c r="DO122" s="37" t="s">
        <v>3391</v>
      </c>
      <c r="DP122" s="37" t="s">
        <v>992</v>
      </c>
      <c r="DQ122" s="37" t="s">
        <v>3390</v>
      </c>
      <c r="DR122" s="37" t="s">
        <v>993</v>
      </c>
      <c r="DS122" s="22"/>
      <c r="DT122" s="6"/>
      <c r="DZ122" s="48"/>
      <c r="EL122" s="3"/>
      <c r="EM122" s="3"/>
      <c r="FK122" s="135"/>
      <c r="FY122" s="2"/>
      <c r="FZ122" s="37" t="s">
        <v>3388</v>
      </c>
      <c r="GA122" s="37" t="s">
        <v>3388</v>
      </c>
      <c r="GB122" s="37" t="s">
        <v>3221</v>
      </c>
      <c r="GC122" s="37" t="s">
        <v>3924</v>
      </c>
      <c r="GD122" s="37" t="s">
        <v>975</v>
      </c>
      <c r="GF122" s="22"/>
      <c r="GL122" s="48"/>
      <c r="GV122" s="128"/>
      <c r="GW122" s="128"/>
      <c r="HJ122" s="48"/>
      <c r="HK122" s="170"/>
      <c r="HM122" s="1" t="s">
        <v>3727</v>
      </c>
      <c r="HN122" s="1">
        <f>IF(HN19=HM122,17,0)</f>
        <v>0</v>
      </c>
      <c r="IB122" s="170"/>
      <c r="IG122" s="1"/>
      <c r="IH122" s="1"/>
      <c r="II122" s="1"/>
      <c r="IJ122" s="1"/>
      <c r="IK122" s="1"/>
      <c r="IL122" s="1"/>
      <c r="IM122" s="1"/>
      <c r="IN122" s="178"/>
      <c r="IO122" s="1"/>
      <c r="IP122" s="1"/>
      <c r="IQ122" s="1" t="s">
        <v>4046</v>
      </c>
      <c r="IS122" s="1"/>
      <c r="IT122" s="1"/>
      <c r="IU122" s="180" t="e">
        <f>IF(IO14=IV121,IV121,IU121)</f>
        <v>#N/A</v>
      </c>
      <c r="IV122" s="1"/>
      <c r="IW122" s="1"/>
      <c r="IX122" s="1"/>
      <c r="IY122" s="1"/>
      <c r="IZ122" s="1"/>
      <c r="JA122" s="1"/>
      <c r="JB122" s="1"/>
      <c r="JC122" s="178"/>
      <c r="JD122" s="135"/>
    </row>
    <row r="123" spans="9:264">
      <c r="I123" s="22"/>
      <c r="J123" s="156" t="s">
        <v>392</v>
      </c>
      <c r="K123" s="156" t="s">
        <v>392</v>
      </c>
      <c r="L123" s="22">
        <v>7</v>
      </c>
      <c r="M123" s="22">
        <v>20</v>
      </c>
      <c r="N123" s="22">
        <v>7.4</v>
      </c>
      <c r="O123" s="22">
        <v>21</v>
      </c>
      <c r="P123" s="22">
        <v>58</v>
      </c>
      <c r="Q123" s="22">
        <v>56</v>
      </c>
      <c r="R123" s="22" t="s">
        <v>393</v>
      </c>
      <c r="S123" s="22" t="s">
        <v>394</v>
      </c>
      <c r="AB123" s="5"/>
      <c r="AI123" s="5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97"/>
      <c r="BN123" s="97"/>
      <c r="BO123" s="166"/>
      <c r="CJ123" s="123"/>
      <c r="CK123" s="38" t="s">
        <v>2854</v>
      </c>
      <c r="CL123" s="128"/>
      <c r="CM123" s="127"/>
      <c r="CN123" s="38" t="s">
        <v>2854</v>
      </c>
      <c r="CO123" s="128"/>
      <c r="CP123" s="127"/>
      <c r="CQ123" s="6"/>
      <c r="CR123" s="138"/>
      <c r="CS123" s="229" t="s">
        <v>3087</v>
      </c>
      <c r="CT123" s="205"/>
      <c r="CW123" s="170"/>
      <c r="DC123" s="182"/>
      <c r="DE123" s="128" t="s">
        <v>2983</v>
      </c>
      <c r="DF123" s="128" t="b">
        <f>ISNUMBER(DF122)</f>
        <v>1</v>
      </c>
      <c r="DG123" s="1" t="s">
        <v>2988</v>
      </c>
      <c r="DH123" s="1">
        <f>-1*DH122</f>
        <v>0</v>
      </c>
      <c r="DK123" s="182"/>
      <c r="DM123" s="2"/>
      <c r="DN123" s="37" t="s">
        <v>3222</v>
      </c>
      <c r="DO123" s="37" t="s">
        <v>3222</v>
      </c>
      <c r="DP123" s="37" t="s">
        <v>992</v>
      </c>
      <c r="DQ123" s="37" t="s">
        <v>3390</v>
      </c>
      <c r="DR123" s="37" t="s">
        <v>993</v>
      </c>
      <c r="DS123" s="22"/>
      <c r="DT123" s="6"/>
      <c r="DZ123" s="48"/>
      <c r="EL123" s="3"/>
      <c r="EM123" s="3"/>
      <c r="FK123" s="135"/>
      <c r="FY123" s="2"/>
      <c r="FZ123" s="37" t="s">
        <v>3221</v>
      </c>
      <c r="GA123" s="37" t="s">
        <v>3221</v>
      </c>
      <c r="GB123" s="37" t="s">
        <v>3221</v>
      </c>
      <c r="GC123" s="37" t="s">
        <v>3924</v>
      </c>
      <c r="GD123" s="37" t="s">
        <v>975</v>
      </c>
      <c r="GF123" s="22"/>
      <c r="GL123" s="48"/>
      <c r="GV123" s="128"/>
      <c r="GW123" s="128"/>
      <c r="HJ123" s="48"/>
      <c r="HK123" s="170"/>
      <c r="HM123" s="1" t="s">
        <v>3925</v>
      </c>
      <c r="HN123" s="1">
        <f>IF(HN19=HM123,17,0)</f>
        <v>0</v>
      </c>
      <c r="IB123" s="170"/>
      <c r="IG123" s="1"/>
      <c r="IH123" s="1"/>
      <c r="II123" s="1"/>
      <c r="IJ123" s="1"/>
      <c r="IK123" s="1"/>
      <c r="IL123" s="1"/>
      <c r="IM123" s="1"/>
      <c r="IN123" s="178"/>
      <c r="IO123" s="178"/>
      <c r="IP123" s="178"/>
      <c r="IQ123" s="178"/>
      <c r="IR123" s="178"/>
      <c r="IS123" s="178"/>
      <c r="IT123" s="178"/>
      <c r="IU123" s="178"/>
      <c r="IV123" s="178"/>
      <c r="IW123" s="178"/>
      <c r="IX123" s="178"/>
      <c r="IY123" s="178"/>
      <c r="IZ123" s="178"/>
      <c r="JA123" s="178"/>
      <c r="JB123" s="178"/>
      <c r="JC123" s="178"/>
      <c r="JD123" s="135"/>
    </row>
    <row r="124" spans="9:264">
      <c r="I124" s="22"/>
      <c r="J124" s="156" t="s">
        <v>395</v>
      </c>
      <c r="K124" s="156" t="s">
        <v>395</v>
      </c>
      <c r="L124" s="22">
        <v>6</v>
      </c>
      <c r="M124" s="22">
        <v>43</v>
      </c>
      <c r="N124" s="22">
        <v>55.9</v>
      </c>
      <c r="O124" s="22">
        <v>25</v>
      </c>
      <c r="P124" s="22">
        <v>7</v>
      </c>
      <c r="Q124" s="22">
        <v>52</v>
      </c>
      <c r="R124" s="22" t="s">
        <v>396</v>
      </c>
      <c r="S124" s="22" t="s">
        <v>397</v>
      </c>
      <c r="AB124" s="5"/>
      <c r="AC124" s="5"/>
      <c r="AD124" s="5"/>
      <c r="AE124" s="5"/>
      <c r="AF124" s="5"/>
      <c r="AG124" s="5"/>
      <c r="AI124" s="5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97"/>
      <c r="BN124" s="97"/>
      <c r="BO124" s="166"/>
      <c r="BQ124" s="108"/>
      <c r="BR124" s="206" t="s">
        <v>3196</v>
      </c>
      <c r="BS124" s="331"/>
      <c r="CA124" s="206" t="s">
        <v>3197</v>
      </c>
      <c r="CB124" s="332"/>
      <c r="CJ124" s="123"/>
      <c r="CK124" s="38" t="s">
        <v>3040</v>
      </c>
      <c r="CL124" s="65">
        <f>CL89</f>
        <v>0</v>
      </c>
      <c r="CM124" s="127"/>
      <c r="CN124" s="38" t="s">
        <v>3040</v>
      </c>
      <c r="CO124" s="65">
        <f>CO89</f>
        <v>0</v>
      </c>
      <c r="CP124" s="127"/>
      <c r="CQ124" s="6"/>
      <c r="CR124" s="138"/>
      <c r="CS124" s="1" t="s">
        <v>3092</v>
      </c>
      <c r="CT124" s="65">
        <f>DD86</f>
        <v>0</v>
      </c>
      <c r="CW124" s="170"/>
      <c r="DC124" s="182"/>
      <c r="DE124" s="128" t="s">
        <v>2985</v>
      </c>
      <c r="DF124" s="128">
        <f>DF123*1</f>
        <v>1</v>
      </c>
      <c r="DG124" s="1" t="s">
        <v>2990</v>
      </c>
      <c r="DH124" s="406">
        <f>IF(DF126=1,DH123,DH121)</f>
        <v>0</v>
      </c>
      <c r="DK124" s="182"/>
      <c r="DM124" s="2"/>
      <c r="DN124" s="37" t="s">
        <v>3392</v>
      </c>
      <c r="DO124" s="37" t="s">
        <v>3392</v>
      </c>
      <c r="DP124" s="37" t="s">
        <v>997</v>
      </c>
      <c r="DQ124" s="37" t="s">
        <v>3393</v>
      </c>
      <c r="DR124" s="37" t="s">
        <v>998</v>
      </c>
      <c r="DS124" s="22"/>
      <c r="DT124" s="6"/>
      <c r="DZ124" s="48"/>
      <c r="EL124" s="3"/>
      <c r="EM124" s="3"/>
      <c r="FK124" s="135"/>
      <c r="FY124" s="2"/>
      <c r="FZ124" s="37" t="s">
        <v>3389</v>
      </c>
      <c r="GA124" s="37" t="s">
        <v>3389</v>
      </c>
      <c r="GB124" s="37" t="s">
        <v>992</v>
      </c>
      <c r="GC124" s="37" t="s">
        <v>3926</v>
      </c>
      <c r="GD124" s="37" t="s">
        <v>995</v>
      </c>
      <c r="GF124" s="22"/>
      <c r="GL124" s="48"/>
      <c r="GV124" s="128"/>
      <c r="GW124" s="128"/>
      <c r="HJ124" s="48"/>
      <c r="HK124" s="170"/>
      <c r="HM124" s="1" t="s">
        <v>3688</v>
      </c>
      <c r="HN124" s="170">
        <f>HN123+HN122</f>
        <v>0</v>
      </c>
      <c r="IB124" s="170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  <c r="IU124" s="1"/>
      <c r="IV124" s="1"/>
      <c r="IW124" s="1"/>
      <c r="IX124" s="1"/>
      <c r="IY124" s="1"/>
      <c r="IZ124" s="1"/>
      <c r="JA124" s="1"/>
      <c r="JB124" s="1"/>
      <c r="JC124" s="1"/>
      <c r="JD124" s="135"/>
    </row>
    <row r="125" spans="9:264">
      <c r="I125" s="22"/>
      <c r="J125" s="156" t="s">
        <v>398</v>
      </c>
      <c r="K125" s="156" t="s">
        <v>398</v>
      </c>
      <c r="L125" s="22">
        <v>7</v>
      </c>
      <c r="M125" s="22">
        <v>4</v>
      </c>
      <c r="N125" s="22">
        <v>6.5</v>
      </c>
      <c r="O125" s="22">
        <v>20</v>
      </c>
      <c r="P125" s="22">
        <v>34</v>
      </c>
      <c r="Q125" s="22">
        <v>13</v>
      </c>
      <c r="R125" s="22" t="s">
        <v>399</v>
      </c>
      <c r="S125" s="22" t="s">
        <v>400</v>
      </c>
      <c r="AI125" s="5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97"/>
      <c r="BN125" s="97"/>
      <c r="BO125" s="166"/>
      <c r="BR125" s="38" t="s">
        <v>3104</v>
      </c>
      <c r="BS125" s="180" t="str">
        <f>CZ106</f>
        <v/>
      </c>
      <c r="CA125" s="38" t="s">
        <v>3104</v>
      </c>
      <c r="CB125" s="180" t="str">
        <f>CZ111</f>
        <v/>
      </c>
      <c r="CJ125" s="123"/>
      <c r="CK125" s="38" t="s">
        <v>3041</v>
      </c>
      <c r="CL125" s="65">
        <f>CL94</f>
        <v>0</v>
      </c>
      <c r="CM125" s="127"/>
      <c r="CN125" s="38" t="s">
        <v>3041</v>
      </c>
      <c r="CO125" s="65">
        <f>CO94</f>
        <v>0</v>
      </c>
      <c r="CP125" s="127"/>
      <c r="CQ125" s="6"/>
      <c r="CR125" s="138"/>
      <c r="CS125" s="1" t="s">
        <v>11</v>
      </c>
      <c r="CT125" s="65">
        <f>DD88</f>
        <v>0</v>
      </c>
      <c r="CW125" s="170"/>
      <c r="DC125" s="182"/>
      <c r="DE125" s="128" t="s">
        <v>2987</v>
      </c>
      <c r="DF125" s="6">
        <f>IF(DF124=1,DF122,0)</f>
        <v>0</v>
      </c>
      <c r="DG125" s="1" t="s">
        <v>2069</v>
      </c>
      <c r="DH125" s="175"/>
      <c r="DK125" s="182"/>
      <c r="DM125" s="2"/>
      <c r="DN125" s="37" t="s">
        <v>997</v>
      </c>
      <c r="DO125" s="37" t="s">
        <v>997</v>
      </c>
      <c r="DP125" s="37" t="s">
        <v>997</v>
      </c>
      <c r="DQ125" s="37" t="s">
        <v>3393</v>
      </c>
      <c r="DR125" s="37" t="s">
        <v>998</v>
      </c>
      <c r="DS125" s="22"/>
      <c r="DT125" s="6"/>
      <c r="DZ125" s="48"/>
      <c r="EL125" s="3"/>
      <c r="EM125" s="3"/>
      <c r="FK125" s="135"/>
      <c r="FY125" s="2"/>
      <c r="FZ125" s="37" t="s">
        <v>992</v>
      </c>
      <c r="GA125" s="37" t="s">
        <v>992</v>
      </c>
      <c r="GB125" s="37" t="s">
        <v>992</v>
      </c>
      <c r="GC125" s="37" t="s">
        <v>3926</v>
      </c>
      <c r="GD125" s="37" t="s">
        <v>995</v>
      </c>
      <c r="GF125" s="22"/>
      <c r="GL125" s="48"/>
      <c r="GV125" s="128"/>
      <c r="GW125" s="128"/>
      <c r="HJ125" s="48"/>
      <c r="HK125" s="170"/>
      <c r="HM125" s="191">
        <v>18</v>
      </c>
      <c r="IB125" s="170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  <c r="IU125" s="1"/>
      <c r="IV125" s="1"/>
      <c r="IW125" s="1"/>
      <c r="IX125" s="1"/>
      <c r="IY125" s="1"/>
      <c r="IZ125" s="1"/>
      <c r="JA125" s="1"/>
      <c r="JB125" s="1"/>
      <c r="JC125" s="1"/>
      <c r="JD125" s="135"/>
    </row>
    <row r="126" spans="9:264">
      <c r="I126" s="22"/>
      <c r="J126" s="156" t="s">
        <v>401</v>
      </c>
      <c r="K126" s="156" t="s">
        <v>401</v>
      </c>
      <c r="L126" s="22">
        <v>6</v>
      </c>
      <c r="M126" s="22">
        <v>14</v>
      </c>
      <c r="N126" s="22">
        <v>52.7</v>
      </c>
      <c r="O126" s="22">
        <v>22</v>
      </c>
      <c r="P126" s="22">
        <v>30</v>
      </c>
      <c r="Q126" s="22">
        <v>24</v>
      </c>
      <c r="R126" s="22" t="s">
        <v>402</v>
      </c>
      <c r="S126" s="22" t="s">
        <v>403</v>
      </c>
      <c r="AI126" s="5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97"/>
      <c r="BN126" s="97"/>
      <c r="BO126" s="166"/>
      <c r="BR126" s="38" t="s">
        <v>3105</v>
      </c>
      <c r="BS126" s="180" t="str">
        <f>CZ107</f>
        <v/>
      </c>
      <c r="CA126" s="38" t="s">
        <v>3105</v>
      </c>
      <c r="CB126" s="180" t="str">
        <f>CZ112</f>
        <v/>
      </c>
      <c r="CJ126" s="123"/>
      <c r="CK126" s="38" t="s">
        <v>2858</v>
      </c>
      <c r="CL126" s="65">
        <f>CL99</f>
        <v>0</v>
      </c>
      <c r="CM126" s="127"/>
      <c r="CN126" s="38" t="s">
        <v>2858</v>
      </c>
      <c r="CO126" s="65">
        <f>CO99</f>
        <v>0</v>
      </c>
      <c r="CP126" s="127"/>
      <c r="CQ126" s="6"/>
      <c r="CR126" s="138"/>
      <c r="CS126" s="1" t="s">
        <v>3093</v>
      </c>
      <c r="CT126" s="65">
        <f>DD90</f>
        <v>0</v>
      </c>
      <c r="CW126" s="170"/>
      <c r="DC126" s="182"/>
      <c r="DE126" s="132" t="s">
        <v>2989</v>
      </c>
      <c r="DF126" s="132">
        <f>IF(DF125&lt;0,1,0)</f>
        <v>0</v>
      </c>
      <c r="DG126" s="108" t="s">
        <v>2993</v>
      </c>
      <c r="DK126" s="182"/>
      <c r="DM126" s="2"/>
      <c r="DN126" s="37" t="s">
        <v>3394</v>
      </c>
      <c r="DO126" s="37" t="s">
        <v>3394</v>
      </c>
      <c r="DP126" s="37" t="s">
        <v>1027</v>
      </c>
      <c r="DQ126" s="37" t="s">
        <v>3395</v>
      </c>
      <c r="DR126" s="37" t="s">
        <v>1028</v>
      </c>
      <c r="DS126" s="22"/>
      <c r="DT126" s="6"/>
      <c r="DZ126" s="48"/>
      <c r="EL126" s="3"/>
      <c r="EM126" s="3"/>
      <c r="FK126" s="135"/>
      <c r="FY126" s="2"/>
      <c r="FZ126" s="37" t="s">
        <v>3391</v>
      </c>
      <c r="GA126" s="37" t="s">
        <v>3391</v>
      </c>
      <c r="GB126" s="37" t="s">
        <v>992</v>
      </c>
      <c r="GC126" s="37" t="s">
        <v>3926</v>
      </c>
      <c r="GD126" s="37" t="s">
        <v>995</v>
      </c>
      <c r="GF126" s="22"/>
      <c r="GL126" s="48"/>
      <c r="GV126" s="128"/>
      <c r="GW126" s="128"/>
      <c r="HJ126" s="48"/>
      <c r="HK126" s="170"/>
      <c r="HM126" s="1" t="s">
        <v>3927</v>
      </c>
      <c r="IB126" s="170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  <c r="IU126" s="1"/>
      <c r="IV126" s="1"/>
      <c r="IW126" s="1"/>
      <c r="IX126" s="1"/>
      <c r="IY126" s="1"/>
      <c r="IZ126" s="1"/>
      <c r="JA126" s="1"/>
      <c r="JB126" s="1"/>
      <c r="JC126" s="1"/>
      <c r="JD126" s="135"/>
    </row>
    <row r="127" spans="9:264">
      <c r="I127" s="22"/>
      <c r="J127" s="156" t="s">
        <v>404</v>
      </c>
      <c r="K127" s="156" t="s">
        <v>404</v>
      </c>
      <c r="L127" s="22">
        <v>6</v>
      </c>
      <c r="M127" s="22">
        <v>22</v>
      </c>
      <c r="N127" s="22">
        <v>57.6</v>
      </c>
      <c r="O127" s="22">
        <v>22</v>
      </c>
      <c r="P127" s="22">
        <v>30</v>
      </c>
      <c r="Q127" s="22">
        <v>49</v>
      </c>
      <c r="R127" s="22" t="s">
        <v>405</v>
      </c>
      <c r="S127" s="22" t="s">
        <v>406</v>
      </c>
      <c r="AI127" s="5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97"/>
      <c r="BN127" s="97"/>
      <c r="BO127" s="166"/>
      <c r="BR127" s="95" t="s">
        <v>3189</v>
      </c>
      <c r="BS127" s="109" t="str">
        <f>CZ108</f>
        <v/>
      </c>
      <c r="CA127" s="95" t="s">
        <v>3189</v>
      </c>
      <c r="CB127" s="109" t="str">
        <f>CZ113</f>
        <v/>
      </c>
      <c r="CJ127" s="123"/>
      <c r="CK127" s="38"/>
      <c r="CL127" s="128"/>
      <c r="CM127" s="127"/>
      <c r="CN127" s="38"/>
      <c r="CO127" s="128"/>
      <c r="CP127" s="127"/>
      <c r="CQ127" s="6"/>
      <c r="CR127" s="138"/>
      <c r="CS127" s="229" t="s">
        <v>3088</v>
      </c>
      <c r="CT127" s="117"/>
      <c r="CW127" s="170"/>
      <c r="DC127" s="182"/>
      <c r="DE127" s="128" t="s">
        <v>2992</v>
      </c>
      <c r="DF127" s="128">
        <f>IF(DF126=1,DF125,0)</f>
        <v>0</v>
      </c>
      <c r="DG127" s="1" t="s">
        <v>2994</v>
      </c>
      <c r="DH127" s="1">
        <f>IF(DF126=1,DH117,0)</f>
        <v>0</v>
      </c>
      <c r="DK127" s="182"/>
      <c r="DM127" s="2"/>
      <c r="DN127" s="37" t="s">
        <v>1027</v>
      </c>
      <c r="DO127" s="37" t="s">
        <v>1027</v>
      </c>
      <c r="DP127" s="37" t="s">
        <v>1027</v>
      </c>
      <c r="DQ127" s="37" t="s">
        <v>3395</v>
      </c>
      <c r="DR127" s="37" t="s">
        <v>1028</v>
      </c>
      <c r="DS127" s="22"/>
      <c r="DT127" s="6"/>
      <c r="DZ127" s="48"/>
      <c r="EL127" s="3"/>
      <c r="EM127" s="3"/>
      <c r="FK127" s="135"/>
      <c r="FY127" s="2"/>
      <c r="FZ127" s="37" t="s">
        <v>3222</v>
      </c>
      <c r="GA127" s="37" t="s">
        <v>3222</v>
      </c>
      <c r="GB127" s="37" t="s">
        <v>992</v>
      </c>
      <c r="GC127" s="37" t="s">
        <v>3926</v>
      </c>
      <c r="GD127" s="37" t="s">
        <v>995</v>
      </c>
      <c r="GF127" s="22"/>
      <c r="GL127" s="48"/>
      <c r="GV127" s="128"/>
      <c r="GW127" s="128"/>
      <c r="HJ127" s="48"/>
      <c r="HK127" s="170"/>
      <c r="HM127" s="1" t="s">
        <v>3729</v>
      </c>
      <c r="HN127" s="1">
        <f>IF(HN19=HM127,18,0)</f>
        <v>0</v>
      </c>
      <c r="IB127" s="170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  <c r="IU127" s="1"/>
      <c r="IV127" s="1"/>
      <c r="IW127" s="1"/>
      <c r="IX127" s="1"/>
      <c r="IY127" s="1"/>
      <c r="IZ127" s="1"/>
      <c r="JA127" s="1"/>
      <c r="JB127" s="1"/>
      <c r="JC127" s="1"/>
      <c r="JD127" s="135"/>
    </row>
    <row r="128" spans="9:264">
      <c r="I128" s="24" t="s">
        <v>407</v>
      </c>
      <c r="J128" s="157" t="s">
        <v>408</v>
      </c>
      <c r="K128" s="157" t="s">
        <v>408</v>
      </c>
      <c r="L128" s="24" t="s">
        <v>39</v>
      </c>
      <c r="M128" s="24" t="s">
        <v>407</v>
      </c>
      <c r="N128" s="24" t="s">
        <v>407</v>
      </c>
      <c r="O128" s="24" t="s">
        <v>40</v>
      </c>
      <c r="P128" s="24" t="s">
        <v>409</v>
      </c>
      <c r="Q128" s="24" t="s">
        <v>410</v>
      </c>
      <c r="R128" s="24" t="s">
        <v>411</v>
      </c>
      <c r="S128" s="24" t="s">
        <v>409</v>
      </c>
      <c r="AI128" s="5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97"/>
      <c r="CJ128" s="123"/>
      <c r="CK128" s="38" t="s">
        <v>3042</v>
      </c>
      <c r="CL128" s="128">
        <f>CL126/60</f>
        <v>0</v>
      </c>
      <c r="CM128" s="127"/>
      <c r="CN128" s="38" t="s">
        <v>3042</v>
      </c>
      <c r="CO128" s="128">
        <f>CO126/60</f>
        <v>0</v>
      </c>
      <c r="CP128" s="127"/>
      <c r="CQ128" s="6"/>
      <c r="CR128" s="138"/>
      <c r="CS128" s="1" t="s">
        <v>3092</v>
      </c>
      <c r="CT128" s="65">
        <f>DD168</f>
        <v>0</v>
      </c>
      <c r="CW128" s="170"/>
      <c r="DC128" s="182"/>
      <c r="DE128" s="128" t="s">
        <v>3012</v>
      </c>
      <c r="DF128" s="128">
        <f>DF127*-1</f>
        <v>0</v>
      </c>
      <c r="DG128" s="1" t="s">
        <v>2988</v>
      </c>
      <c r="DH128" s="1">
        <f>-1*DH127</f>
        <v>0</v>
      </c>
      <c r="DK128" s="182"/>
      <c r="DM128" s="2"/>
      <c r="DN128" s="37" t="s">
        <v>3396</v>
      </c>
      <c r="DO128" s="37" t="s">
        <v>3396</v>
      </c>
      <c r="DP128" s="37" t="s">
        <v>3397</v>
      </c>
      <c r="DQ128" s="37" t="s">
        <v>3398</v>
      </c>
      <c r="DR128" s="37" t="s">
        <v>3399</v>
      </c>
      <c r="DS128" s="22"/>
      <c r="DT128" s="6"/>
      <c r="DZ128" s="48"/>
      <c r="EL128" s="3"/>
      <c r="EM128" s="3"/>
      <c r="FK128" s="135"/>
      <c r="FY128" s="2"/>
      <c r="FZ128" s="37" t="s">
        <v>3392</v>
      </c>
      <c r="GA128" s="37" t="s">
        <v>3392</v>
      </c>
      <c r="GB128" s="37" t="s">
        <v>997</v>
      </c>
      <c r="GC128" s="37" t="s">
        <v>3930</v>
      </c>
      <c r="GD128" s="37" t="s">
        <v>1000</v>
      </c>
      <c r="GF128" s="22"/>
      <c r="GL128" s="48"/>
      <c r="GV128" s="128"/>
      <c r="GW128" s="128"/>
      <c r="HJ128" s="48"/>
      <c r="HK128" s="170"/>
      <c r="HM128" s="1" t="s">
        <v>3928</v>
      </c>
      <c r="HN128" s="1">
        <f>IF(HN19=HM128,18,0)</f>
        <v>0</v>
      </c>
      <c r="IB128" s="170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  <c r="IU128" s="1"/>
      <c r="IV128" s="1"/>
      <c r="IW128" s="1"/>
      <c r="IX128" s="1"/>
      <c r="IY128" s="1"/>
      <c r="IZ128" s="1"/>
      <c r="JA128" s="1"/>
      <c r="JB128" s="1"/>
      <c r="JC128" s="1"/>
      <c r="JD128" s="135"/>
    </row>
    <row r="129" spans="9:264">
      <c r="I129" s="22"/>
      <c r="J129" s="156" t="s">
        <v>412</v>
      </c>
      <c r="K129" s="156" t="s">
        <v>412</v>
      </c>
      <c r="L129" s="22">
        <v>14</v>
      </c>
      <c r="M129" s="22">
        <v>4</v>
      </c>
      <c r="N129" s="22">
        <v>23.3</v>
      </c>
      <c r="O129" s="22">
        <v>64</v>
      </c>
      <c r="P129" s="22">
        <v>22</v>
      </c>
      <c r="Q129" s="22">
        <v>33</v>
      </c>
      <c r="R129" s="22" t="s">
        <v>413</v>
      </c>
      <c r="S129" s="23" t="s">
        <v>414</v>
      </c>
      <c r="AI129" s="5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97"/>
      <c r="CJ129" s="123"/>
      <c r="CK129" s="38" t="s">
        <v>3043</v>
      </c>
      <c r="CL129" s="128">
        <f>(CL128+CL125)/60</f>
        <v>0</v>
      </c>
      <c r="CM129" s="127"/>
      <c r="CN129" s="38" t="s">
        <v>3043</v>
      </c>
      <c r="CO129" s="128">
        <f>(CO128+CO125)/60</f>
        <v>0</v>
      </c>
      <c r="CP129" s="127"/>
      <c r="CQ129" s="6"/>
      <c r="CR129" s="138"/>
      <c r="CS129" s="1" t="s">
        <v>11</v>
      </c>
      <c r="CT129" s="65">
        <f>DD170</f>
        <v>0</v>
      </c>
      <c r="CW129" s="170"/>
      <c r="DC129" s="182"/>
      <c r="DE129" s="128" t="s">
        <v>2995</v>
      </c>
      <c r="DF129" s="6">
        <f>IF(DF128=0,DF125,DF128)</f>
        <v>0</v>
      </c>
      <c r="DG129" s="1" t="s">
        <v>2996</v>
      </c>
      <c r="DH129" s="406">
        <f>IF(DF126=1,DH128,DH117)</f>
        <v>0</v>
      </c>
      <c r="DK129" s="182"/>
      <c r="DM129" s="2"/>
      <c r="DN129" s="37" t="s">
        <v>1083</v>
      </c>
      <c r="DO129" s="37" t="s">
        <v>1083</v>
      </c>
      <c r="DP129" s="37" t="s">
        <v>3397</v>
      </c>
      <c r="DQ129" s="37" t="s">
        <v>3398</v>
      </c>
      <c r="DR129" s="37" t="s">
        <v>3399</v>
      </c>
      <c r="DS129" s="22"/>
      <c r="DT129" s="6"/>
      <c r="DZ129" s="48"/>
      <c r="EL129" s="3"/>
      <c r="EM129" s="3"/>
      <c r="FK129" s="135"/>
      <c r="FY129" s="2"/>
      <c r="FZ129" s="37" t="s">
        <v>997</v>
      </c>
      <c r="GA129" s="37" t="s">
        <v>997</v>
      </c>
      <c r="GB129" s="37" t="s">
        <v>997</v>
      </c>
      <c r="GC129" s="37" t="s">
        <v>3930</v>
      </c>
      <c r="GD129" s="37" t="s">
        <v>1000</v>
      </c>
      <c r="GF129" s="22"/>
      <c r="GL129" s="48"/>
      <c r="GV129" s="128"/>
      <c r="GW129" s="128"/>
      <c r="HJ129" s="48"/>
      <c r="HK129" s="170"/>
      <c r="HM129" s="1" t="s">
        <v>3929</v>
      </c>
      <c r="HN129" s="1">
        <f>IF(HN19=HM129,18,0)</f>
        <v>0</v>
      </c>
      <c r="IB129" s="170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  <c r="IU129" s="1"/>
      <c r="IV129" s="1"/>
      <c r="IW129" s="1"/>
      <c r="IX129" s="1"/>
      <c r="IY129" s="1"/>
      <c r="IZ129" s="1"/>
      <c r="JA129" s="1"/>
      <c r="JB129" s="1"/>
      <c r="JC129" s="1"/>
      <c r="JD129" s="135"/>
    </row>
    <row r="130" spans="9:264">
      <c r="I130" s="22"/>
      <c r="J130" s="156" t="s">
        <v>415</v>
      </c>
      <c r="K130" s="156" t="s">
        <v>415</v>
      </c>
      <c r="L130" s="22">
        <v>17</v>
      </c>
      <c r="M130" s="22">
        <v>30</v>
      </c>
      <c r="N130" s="22">
        <v>26</v>
      </c>
      <c r="O130" s="22">
        <v>52</v>
      </c>
      <c r="P130" s="22">
        <v>18</v>
      </c>
      <c r="Q130" s="22">
        <v>5</v>
      </c>
      <c r="R130" s="22" t="s">
        <v>416</v>
      </c>
      <c r="S130" s="23" t="s">
        <v>417</v>
      </c>
      <c r="AI130" s="5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97"/>
      <c r="BR130" s="1" t="s">
        <v>3267</v>
      </c>
      <c r="CJ130" s="123"/>
      <c r="CK130" s="38" t="s">
        <v>3044</v>
      </c>
      <c r="CL130" s="129">
        <f>CL129+CL124</f>
        <v>0</v>
      </c>
      <c r="CM130" s="127"/>
      <c r="CN130" s="38" t="s">
        <v>3044</v>
      </c>
      <c r="CO130" s="129">
        <f>CO129+CO124</f>
        <v>0</v>
      </c>
      <c r="CP130" s="127"/>
      <c r="CQ130" s="6"/>
      <c r="CR130" s="138"/>
      <c r="CS130" s="1" t="s">
        <v>3093</v>
      </c>
      <c r="CT130" s="65">
        <f>DD172</f>
        <v>0</v>
      </c>
      <c r="CW130" s="170"/>
      <c r="DC130" s="182"/>
      <c r="DE130" s="145" t="s">
        <v>3013</v>
      </c>
      <c r="DF130" s="6">
        <f>DF129</f>
        <v>0</v>
      </c>
      <c r="DG130" s="1" t="s">
        <v>3275</v>
      </c>
      <c r="DH130" s="175"/>
      <c r="DK130" s="182"/>
      <c r="DM130" s="2"/>
      <c r="DN130" s="37" t="s">
        <v>3400</v>
      </c>
      <c r="DO130" s="37" t="s">
        <v>3400</v>
      </c>
      <c r="DP130" s="37" t="s">
        <v>3397</v>
      </c>
      <c r="DQ130" s="37" t="s">
        <v>3398</v>
      </c>
      <c r="DR130" s="37" t="s">
        <v>3399</v>
      </c>
      <c r="DS130" s="22"/>
      <c r="DT130" s="6"/>
      <c r="DZ130" s="48"/>
      <c r="EL130" s="3"/>
      <c r="EM130" s="3"/>
      <c r="FK130" s="135"/>
      <c r="FY130" s="2"/>
      <c r="FZ130" s="37" t="s">
        <v>3394</v>
      </c>
      <c r="GA130" s="37" t="s">
        <v>3394</v>
      </c>
      <c r="GB130" s="37" t="s">
        <v>1027</v>
      </c>
      <c r="GC130" s="37" t="s">
        <v>3931</v>
      </c>
      <c r="GD130" s="37" t="s">
        <v>1030</v>
      </c>
      <c r="GF130" s="22"/>
      <c r="GL130" s="48"/>
      <c r="GV130" s="128"/>
      <c r="GW130" s="128"/>
      <c r="HJ130" s="48"/>
      <c r="HK130" s="170"/>
      <c r="HM130" s="1" t="s">
        <v>3688</v>
      </c>
      <c r="HN130" s="170">
        <f>HN127+HN128+HN129</f>
        <v>0</v>
      </c>
      <c r="IB130" s="170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  <c r="IU130" s="1"/>
      <c r="IV130" s="1"/>
      <c r="IW130" s="1"/>
      <c r="IX130" s="1"/>
      <c r="IY130" s="1"/>
      <c r="IZ130" s="1"/>
      <c r="JA130" s="1"/>
      <c r="JB130" s="1"/>
      <c r="JC130" s="1"/>
      <c r="JD130" s="135"/>
    </row>
    <row r="131" spans="9:264">
      <c r="I131" s="22"/>
      <c r="J131" s="156" t="s">
        <v>418</v>
      </c>
      <c r="K131" s="156" t="s">
        <v>418</v>
      </c>
      <c r="L131" s="22">
        <v>17</v>
      </c>
      <c r="M131" s="22">
        <v>56</v>
      </c>
      <c r="N131" s="22">
        <v>36.4</v>
      </c>
      <c r="O131" s="22">
        <v>51</v>
      </c>
      <c r="P131" s="22">
        <v>29</v>
      </c>
      <c r="Q131" s="22">
        <v>20</v>
      </c>
      <c r="R131" s="22" t="s">
        <v>419</v>
      </c>
      <c r="S131" s="23" t="s">
        <v>420</v>
      </c>
      <c r="AI131" s="5"/>
      <c r="AJ131" s="3"/>
      <c r="AK131" s="3"/>
      <c r="AL131" s="3"/>
      <c r="AM131" s="3"/>
      <c r="AN131" s="3"/>
      <c r="AO131" s="3"/>
      <c r="AP131" s="387"/>
      <c r="AQ131" s="388"/>
      <c r="AR131" s="389"/>
      <c r="AS131" s="389"/>
      <c r="AT131" s="387"/>
      <c r="AU131" s="388"/>
      <c r="AV131" s="3"/>
      <c r="AW131" s="3"/>
      <c r="AX131" s="3"/>
      <c r="AY131" s="3"/>
      <c r="AZ131" s="3"/>
      <c r="BA131" s="3"/>
      <c r="BB131" s="3"/>
      <c r="BC131" s="3"/>
      <c r="BD131" s="97"/>
      <c r="BR131" s="128" t="s">
        <v>3268</v>
      </c>
      <c r="BS131" s="109" t="str">
        <f>CZ121</f>
        <v/>
      </c>
      <c r="CJ131" s="123"/>
      <c r="CK131" s="210" t="s">
        <v>3045</v>
      </c>
      <c r="CL131" s="128"/>
      <c r="CM131" s="127"/>
      <c r="CN131" s="210" t="s">
        <v>3045</v>
      </c>
      <c r="CO131" s="128"/>
      <c r="CP131" s="127"/>
      <c r="CQ131" s="6"/>
      <c r="CR131" s="138"/>
      <c r="CS131" s="222" t="s">
        <v>3094</v>
      </c>
      <c r="CT131" s="135"/>
      <c r="CW131" s="170"/>
      <c r="DC131" s="182"/>
      <c r="DE131" s="1" t="s">
        <v>3014</v>
      </c>
      <c r="DF131" s="190">
        <f>IF(DF130&gt;100,0,DF130)</f>
        <v>0</v>
      </c>
      <c r="DK131" s="182"/>
      <c r="DM131" s="2"/>
      <c r="DN131" s="37" t="s">
        <v>3397</v>
      </c>
      <c r="DO131" s="37" t="s">
        <v>3397</v>
      </c>
      <c r="DP131" s="37" t="s">
        <v>3397</v>
      </c>
      <c r="DQ131" s="37" t="s">
        <v>3398</v>
      </c>
      <c r="DR131" s="37" t="s">
        <v>3399</v>
      </c>
      <c r="DS131" s="22"/>
      <c r="DT131" s="6"/>
      <c r="DZ131" s="48"/>
      <c r="EL131" s="3"/>
      <c r="EM131" s="3"/>
      <c r="FK131" s="135"/>
      <c r="FY131" s="2"/>
      <c r="FZ131" s="37" t="s">
        <v>1027</v>
      </c>
      <c r="GA131" s="37" t="s">
        <v>1027</v>
      </c>
      <c r="GB131" s="37" t="s">
        <v>1027</v>
      </c>
      <c r="GC131" s="37" t="s">
        <v>3931</v>
      </c>
      <c r="GD131" s="37" t="s">
        <v>1030</v>
      </c>
      <c r="GF131" s="22"/>
      <c r="GL131" s="48"/>
      <c r="GV131" s="128"/>
      <c r="GW131" s="128"/>
      <c r="HJ131" s="48"/>
      <c r="HK131" s="170"/>
      <c r="HM131" s="191">
        <v>19</v>
      </c>
      <c r="IB131" s="170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  <c r="IU131" s="1"/>
      <c r="IV131" s="1"/>
      <c r="IW131" s="1"/>
      <c r="IX131" s="1"/>
      <c r="IY131" s="1"/>
      <c r="IZ131" s="1"/>
      <c r="JA131" s="1"/>
      <c r="JB131" s="1"/>
      <c r="JC131" s="1"/>
      <c r="JD131" s="135"/>
    </row>
    <row r="132" spans="9:264">
      <c r="I132" s="22"/>
      <c r="J132" s="156" t="s">
        <v>421</v>
      </c>
      <c r="K132" s="156" t="s">
        <v>421</v>
      </c>
      <c r="L132" s="22">
        <v>19</v>
      </c>
      <c r="M132" s="22">
        <v>12</v>
      </c>
      <c r="N132" s="22">
        <v>33.299999999999997</v>
      </c>
      <c r="O132" s="22">
        <v>67</v>
      </c>
      <c r="P132" s="22">
        <v>39</v>
      </c>
      <c r="Q132" s="22">
        <v>42</v>
      </c>
      <c r="R132" s="22" t="s">
        <v>422</v>
      </c>
      <c r="S132" s="23" t="s">
        <v>423</v>
      </c>
      <c r="V132" s="5"/>
      <c r="W132" s="5"/>
      <c r="X132" s="283" t="s">
        <v>3101</v>
      </c>
      <c r="Y132" s="5"/>
      <c r="Z132" s="342"/>
      <c r="AA132" s="5"/>
      <c r="AB132" s="5"/>
      <c r="AC132" s="5"/>
      <c r="AD132" s="5"/>
      <c r="AE132" s="5"/>
      <c r="AF132" s="5"/>
      <c r="AG132" s="5"/>
      <c r="AI132" s="5"/>
      <c r="AJ132" s="3"/>
      <c r="AK132" s="3"/>
      <c r="AL132" s="3"/>
      <c r="AM132" s="3"/>
      <c r="AN132" s="3"/>
      <c r="AO132" s="3"/>
      <c r="AP132" s="387"/>
      <c r="AQ132" s="388"/>
      <c r="AR132" s="389"/>
      <c r="AS132" s="388"/>
      <c r="AT132" s="387"/>
      <c r="AU132" s="388"/>
      <c r="AV132" s="3"/>
      <c r="AW132" s="3"/>
      <c r="AX132" s="3"/>
      <c r="AY132" s="3"/>
      <c r="AZ132" s="3"/>
      <c r="BA132" s="3"/>
      <c r="BB132" s="3"/>
      <c r="BC132" s="3"/>
      <c r="BD132" s="97"/>
      <c r="BR132" s="128"/>
      <c r="BS132" s="128"/>
      <c r="BT132" s="128"/>
      <c r="BW132" s="128"/>
      <c r="BX132" s="128"/>
      <c r="BY132" s="132"/>
      <c r="CJ132" s="123"/>
      <c r="CK132" s="38" t="s">
        <v>3046</v>
      </c>
      <c r="CL132" s="128">
        <f>IF(CL101=0,0,1)</f>
        <v>1</v>
      </c>
      <c r="CM132" s="127"/>
      <c r="CN132" s="38" t="s">
        <v>3046</v>
      </c>
      <c r="CO132" s="128">
        <f>IF(CO101=0,0,1)</f>
        <v>1</v>
      </c>
      <c r="CP132" s="127"/>
      <c r="CQ132" s="6"/>
      <c r="CR132" s="138"/>
      <c r="CS132" s="1" t="s">
        <v>3092</v>
      </c>
      <c r="CT132" s="65">
        <f>DD250</f>
        <v>0</v>
      </c>
      <c r="CW132" s="170"/>
      <c r="DC132" s="182"/>
      <c r="DD132" s="182"/>
      <c r="DE132" s="182"/>
      <c r="DF132" s="182"/>
      <c r="DG132" s="182"/>
      <c r="DH132" s="182"/>
      <c r="DI132" s="182"/>
      <c r="DJ132" s="182"/>
      <c r="DK132" s="182"/>
      <c r="DM132" s="2"/>
      <c r="DN132" s="37" t="s">
        <v>3401</v>
      </c>
      <c r="DO132" s="37" t="s">
        <v>3401</v>
      </c>
      <c r="DP132" s="37" t="s">
        <v>1112</v>
      </c>
      <c r="DQ132" s="37" t="s">
        <v>3402</v>
      </c>
      <c r="DR132" s="37" t="s">
        <v>1113</v>
      </c>
      <c r="DS132" s="22"/>
      <c r="DT132" s="6"/>
      <c r="DZ132" s="48"/>
      <c r="EL132" s="3"/>
      <c r="EM132" s="3"/>
      <c r="FK132" s="135"/>
      <c r="FY132" s="2"/>
      <c r="FZ132" s="37" t="s">
        <v>3396</v>
      </c>
      <c r="GA132" s="37" t="s">
        <v>3396</v>
      </c>
      <c r="GB132" s="37" t="s">
        <v>3397</v>
      </c>
      <c r="GC132" s="37" t="s">
        <v>3933</v>
      </c>
      <c r="GD132" s="37" t="s">
        <v>1086</v>
      </c>
      <c r="GF132" s="22"/>
      <c r="GL132" s="48"/>
      <c r="GV132" s="128"/>
      <c r="GW132" s="128"/>
      <c r="HJ132" s="48"/>
      <c r="HK132" s="170"/>
      <c r="HM132" s="1" t="s">
        <v>3932</v>
      </c>
      <c r="IB132" s="170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  <c r="IU132" s="1"/>
      <c r="IV132" s="1"/>
      <c r="IW132" s="1"/>
      <c r="IX132" s="1"/>
      <c r="IY132" s="1"/>
      <c r="IZ132" s="1"/>
      <c r="JA132" s="1"/>
      <c r="JB132" s="1"/>
      <c r="JC132" s="1"/>
      <c r="JD132" s="135"/>
    </row>
    <row r="133" spans="9:264">
      <c r="I133" s="22"/>
      <c r="J133" s="156" t="s">
        <v>424</v>
      </c>
      <c r="K133" s="156" t="s">
        <v>424</v>
      </c>
      <c r="L133" s="22">
        <v>19</v>
      </c>
      <c r="M133" s="22">
        <v>48</v>
      </c>
      <c r="N133" s="22">
        <v>10.4</v>
      </c>
      <c r="O133" s="22">
        <v>70</v>
      </c>
      <c r="P133" s="22">
        <v>16</v>
      </c>
      <c r="Q133" s="22">
        <v>4</v>
      </c>
      <c r="R133" s="22" t="s">
        <v>425</v>
      </c>
      <c r="S133" s="23" t="s">
        <v>426</v>
      </c>
      <c r="AP133" s="131"/>
      <c r="AQ133" s="376"/>
      <c r="AR133" s="375"/>
      <c r="AS133" s="390"/>
      <c r="AT133" s="198"/>
      <c r="AU133" s="375"/>
      <c r="BD133" s="97"/>
      <c r="BR133" s="128"/>
      <c r="BS133" s="128"/>
      <c r="BT133" s="128"/>
      <c r="BU133" s="128"/>
      <c r="BV133" s="128"/>
      <c r="BW133" s="128"/>
      <c r="CJ133" s="123"/>
      <c r="CK133" s="38" t="s">
        <v>3047</v>
      </c>
      <c r="CL133" s="128">
        <f>IF(CL117&gt;0,0,1)</f>
        <v>0</v>
      </c>
      <c r="CM133" s="127"/>
      <c r="CN133" s="38" t="s">
        <v>3047</v>
      </c>
      <c r="CO133" s="128">
        <f>IF(CO117&gt;0,0,1)</f>
        <v>0</v>
      </c>
      <c r="CP133" s="127"/>
      <c r="CQ133" s="6"/>
      <c r="CR133" s="138"/>
      <c r="CS133" s="1" t="s">
        <v>11</v>
      </c>
      <c r="CT133" s="65">
        <f>DD252</f>
        <v>0</v>
      </c>
      <c r="CW133" s="170"/>
      <c r="DC133" s="182"/>
      <c r="DD133" s="175"/>
      <c r="DE133" s="267" t="s">
        <v>2998</v>
      </c>
      <c r="DF133" s="57">
        <f>DF172</f>
        <v>0</v>
      </c>
      <c r="DG133" s="175"/>
      <c r="DH133" s="175"/>
      <c r="DI133" s="175"/>
      <c r="DJ133" s="175"/>
      <c r="DK133" s="182"/>
      <c r="DM133" s="2"/>
      <c r="DN133" s="37" t="s">
        <v>1112</v>
      </c>
      <c r="DO133" s="37" t="s">
        <v>1112</v>
      </c>
      <c r="DP133" s="37" t="s">
        <v>1112</v>
      </c>
      <c r="DQ133" s="37" t="s">
        <v>3402</v>
      </c>
      <c r="DR133" s="37" t="s">
        <v>1113</v>
      </c>
      <c r="DS133" s="22"/>
      <c r="DT133" s="6"/>
      <c r="DZ133" s="48"/>
      <c r="EL133" s="3"/>
      <c r="EM133" s="3"/>
      <c r="FK133" s="135"/>
      <c r="FY133" s="2"/>
      <c r="FZ133" s="37" t="s">
        <v>1083</v>
      </c>
      <c r="GA133" s="37" t="s">
        <v>1083</v>
      </c>
      <c r="GB133" s="37" t="s">
        <v>3397</v>
      </c>
      <c r="GC133" s="37" t="s">
        <v>3933</v>
      </c>
      <c r="GD133" s="37" t="s">
        <v>1086</v>
      </c>
      <c r="GF133" s="22"/>
      <c r="GL133" s="48"/>
      <c r="GV133" s="128"/>
      <c r="GW133" s="128"/>
      <c r="HJ133" s="48"/>
      <c r="HK133" s="170"/>
      <c r="HM133" s="1" t="s">
        <v>3732</v>
      </c>
      <c r="HN133" s="1">
        <f>IF(HN19=HM133,19,0)</f>
        <v>0</v>
      </c>
      <c r="IB133" s="170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  <c r="IU133" s="1"/>
      <c r="IV133" s="1"/>
      <c r="IW133" s="1"/>
      <c r="IX133" s="1"/>
      <c r="IY133" s="1"/>
      <c r="IZ133" s="1"/>
      <c r="JA133" s="1"/>
      <c r="JB133" s="1"/>
      <c r="JC133" s="1"/>
      <c r="JD133" s="135"/>
    </row>
    <row r="134" spans="9:264">
      <c r="I134" s="22"/>
      <c r="J134" s="156" t="s">
        <v>427</v>
      </c>
      <c r="K134" s="156" t="s">
        <v>427</v>
      </c>
      <c r="L134" s="22">
        <v>17</v>
      </c>
      <c r="M134" s="22">
        <v>8</v>
      </c>
      <c r="N134" s="22">
        <v>47.2</v>
      </c>
      <c r="O134" s="22">
        <v>65</v>
      </c>
      <c r="P134" s="22">
        <v>42</v>
      </c>
      <c r="Q134" s="22">
        <v>53</v>
      </c>
      <c r="R134" s="22" t="s">
        <v>428</v>
      </c>
      <c r="S134" s="23" t="s">
        <v>429</v>
      </c>
      <c r="AP134" s="617"/>
      <c r="AQ134" s="617"/>
      <c r="AR134" s="377"/>
      <c r="AS134" s="388"/>
      <c r="AT134" s="617"/>
      <c r="AU134" s="617"/>
      <c r="BD134" s="97"/>
      <c r="CJ134" s="123"/>
      <c r="CK134" s="38" t="s">
        <v>2859</v>
      </c>
      <c r="CL134" s="128">
        <f>CL132+CL133</f>
        <v>1</v>
      </c>
      <c r="CM134" s="127"/>
      <c r="CN134" s="38" t="s">
        <v>2859</v>
      </c>
      <c r="CO134" s="128">
        <f>CO132+CO133</f>
        <v>1</v>
      </c>
      <c r="CP134" s="127"/>
      <c r="CQ134" s="6"/>
      <c r="CR134" s="138"/>
      <c r="CS134" s="1" t="s">
        <v>3093</v>
      </c>
      <c r="CT134" s="65">
        <f>DD254</f>
        <v>0</v>
      </c>
      <c r="CW134" s="170"/>
      <c r="DC134" s="182"/>
      <c r="DD134" s="402"/>
      <c r="DE134" s="402" t="s">
        <v>2935</v>
      </c>
      <c r="DF134" s="195">
        <f>IF(DF133&lt;10,0,DF133)</f>
        <v>0</v>
      </c>
      <c r="DG134" s="403" t="s">
        <v>2999</v>
      </c>
      <c r="DH134" s="402"/>
      <c r="DI134" s="402"/>
      <c r="DJ134" s="402"/>
      <c r="DK134" s="182"/>
      <c r="DM134" s="2"/>
      <c r="DN134" s="37" t="s">
        <v>3403</v>
      </c>
      <c r="DO134" s="37" t="s">
        <v>3403</v>
      </c>
      <c r="DP134" s="37" t="s">
        <v>3224</v>
      </c>
      <c r="DQ134" s="37" t="s">
        <v>3404</v>
      </c>
      <c r="DR134" s="37" t="s">
        <v>1177</v>
      </c>
      <c r="DS134" s="22"/>
      <c r="DT134" s="6"/>
      <c r="DZ134" s="48"/>
      <c r="EL134" s="3"/>
      <c r="EM134" s="3"/>
      <c r="FK134" s="135"/>
      <c r="FY134" s="2"/>
      <c r="FZ134" s="37" t="s">
        <v>3400</v>
      </c>
      <c r="GA134" s="37" t="s">
        <v>3400</v>
      </c>
      <c r="GB134" s="37" t="s">
        <v>3397</v>
      </c>
      <c r="GC134" s="37" t="s">
        <v>3933</v>
      </c>
      <c r="GD134" s="37" t="s">
        <v>1086</v>
      </c>
      <c r="GF134" s="22"/>
      <c r="GL134" s="48"/>
      <c r="GV134" s="128"/>
      <c r="GW134" s="128"/>
      <c r="HJ134" s="48"/>
      <c r="HK134" s="170"/>
      <c r="HM134" s="1" t="s">
        <v>3934</v>
      </c>
      <c r="HN134" s="1">
        <f>IF(HN19=HM134,19,0)</f>
        <v>0</v>
      </c>
      <c r="IB134" s="170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  <c r="IU134" s="1"/>
      <c r="IV134" s="1"/>
      <c r="IW134" s="1"/>
      <c r="IX134" s="1"/>
      <c r="IY134" s="1"/>
      <c r="IZ134" s="1"/>
      <c r="JA134" s="1"/>
      <c r="JB134" s="1"/>
      <c r="JC134" s="1"/>
      <c r="JD134" s="135"/>
    </row>
    <row r="135" spans="9:264">
      <c r="I135" s="22"/>
      <c r="J135" s="156" t="s">
        <v>430</v>
      </c>
      <c r="K135" s="156" t="s">
        <v>430</v>
      </c>
      <c r="L135" s="22">
        <v>16</v>
      </c>
      <c r="M135" s="22">
        <v>23</v>
      </c>
      <c r="N135" s="22">
        <v>59.5</v>
      </c>
      <c r="O135" s="22">
        <v>61</v>
      </c>
      <c r="P135" s="22">
        <v>30</v>
      </c>
      <c r="Q135" s="22">
        <v>51</v>
      </c>
      <c r="R135" s="22" t="s">
        <v>431</v>
      </c>
      <c r="S135" s="23" t="s">
        <v>432</v>
      </c>
      <c r="AP135" s="375"/>
      <c r="AQ135" s="378"/>
      <c r="AR135" s="375"/>
      <c r="AS135" s="390"/>
      <c r="AT135" s="375"/>
      <c r="AU135" s="378"/>
      <c r="BD135" s="97"/>
      <c r="CJ135" s="123"/>
      <c r="CK135" s="38" t="s">
        <v>3048</v>
      </c>
      <c r="CL135" s="180" t="str">
        <f>IF(CL134=0,CL130,"")</f>
        <v/>
      </c>
      <c r="CM135" s="127"/>
      <c r="CN135" s="38" t="s">
        <v>3048</v>
      </c>
      <c r="CO135" s="211" t="str">
        <f>IF(CO134=0,CO130,"")</f>
        <v/>
      </c>
      <c r="CP135" s="127"/>
      <c r="CQ135" s="6"/>
      <c r="CR135" s="138"/>
      <c r="CS135" s="222" t="s">
        <v>3095</v>
      </c>
      <c r="CT135" s="135"/>
      <c r="CW135" s="170"/>
      <c r="DC135" s="182"/>
      <c r="DE135" s="1" t="s">
        <v>2933</v>
      </c>
      <c r="DF135" s="404">
        <f>IF(DF134&lt;100,DF134,0)</f>
        <v>0</v>
      </c>
      <c r="DG135" s="1" t="s">
        <v>2931</v>
      </c>
      <c r="DH135" s="405">
        <f t="shared" ref="DH135:DH143" si="8">IF(DF136=0,DF135,0)</f>
        <v>0</v>
      </c>
      <c r="DI135" s="1" t="s">
        <v>2936</v>
      </c>
      <c r="DJ135" s="170">
        <f>IF(DH135&gt;0,90,0)</f>
        <v>0</v>
      </c>
      <c r="DK135" s="182"/>
      <c r="DM135" s="2"/>
      <c r="DN135" s="37" t="s">
        <v>3223</v>
      </c>
      <c r="DO135" s="37" t="s">
        <v>3223</v>
      </c>
      <c r="DP135" s="37" t="s">
        <v>3224</v>
      </c>
      <c r="DQ135" s="37" t="s">
        <v>3404</v>
      </c>
      <c r="DR135" s="37" t="s">
        <v>1177</v>
      </c>
      <c r="DS135" s="22"/>
      <c r="DT135" s="6"/>
      <c r="DZ135" s="48"/>
      <c r="EL135" s="3"/>
      <c r="EM135" s="3"/>
      <c r="FK135" s="135"/>
      <c r="FY135" s="2"/>
      <c r="FZ135" s="37" t="s">
        <v>3397</v>
      </c>
      <c r="GA135" s="37" t="s">
        <v>3397</v>
      </c>
      <c r="GB135" s="37" t="s">
        <v>3397</v>
      </c>
      <c r="GC135" s="37" t="s">
        <v>3933</v>
      </c>
      <c r="GD135" s="37" t="s">
        <v>1086</v>
      </c>
      <c r="GF135" s="22"/>
      <c r="GL135" s="48"/>
      <c r="GV135" s="128"/>
      <c r="GW135" s="128"/>
      <c r="HJ135" s="48"/>
      <c r="HK135" s="170"/>
      <c r="HM135" s="1" t="s">
        <v>3688</v>
      </c>
      <c r="HN135" s="170">
        <f>HN134+HN133</f>
        <v>0</v>
      </c>
      <c r="IB135" s="170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  <c r="IU135" s="1"/>
      <c r="IV135" s="1"/>
      <c r="IW135" s="1"/>
      <c r="IX135" s="1"/>
      <c r="IY135" s="1"/>
      <c r="IZ135" s="1"/>
      <c r="JA135" s="1"/>
      <c r="JB135" s="1"/>
      <c r="JC135" s="1"/>
      <c r="JD135" s="135"/>
    </row>
    <row r="136" spans="9:264" ht="18.75">
      <c r="I136" s="22"/>
      <c r="J136" s="156" t="s">
        <v>433</v>
      </c>
      <c r="K136" s="156" t="s">
        <v>433</v>
      </c>
      <c r="L136" s="22">
        <v>16</v>
      </c>
      <c r="M136" s="22">
        <v>1</v>
      </c>
      <c r="N136" s="22">
        <v>53.3</v>
      </c>
      <c r="O136" s="22">
        <v>58</v>
      </c>
      <c r="P136" s="22">
        <v>33</v>
      </c>
      <c r="Q136" s="22">
        <v>55</v>
      </c>
      <c r="R136" s="22" t="s">
        <v>434</v>
      </c>
      <c r="S136" s="23" t="s">
        <v>435</v>
      </c>
      <c r="AP136" s="375"/>
      <c r="AQ136" s="378"/>
      <c r="AR136" s="379"/>
      <c r="AS136" s="388"/>
      <c r="AT136" s="375"/>
      <c r="AU136" s="378"/>
      <c r="BD136" s="97"/>
      <c r="CJ136" s="123"/>
      <c r="CK136" s="6"/>
      <c r="CL136" s="6"/>
      <c r="CM136" s="6"/>
      <c r="CN136" s="6"/>
      <c r="CO136" s="6"/>
      <c r="CP136" s="6"/>
      <c r="CR136" s="138"/>
      <c r="CS136" s="1" t="s">
        <v>3092</v>
      </c>
      <c r="CT136" s="65">
        <f>DD332</f>
        <v>0</v>
      </c>
      <c r="CW136" s="170"/>
      <c r="DC136" s="182"/>
      <c r="DE136" s="1" t="s">
        <v>2937</v>
      </c>
      <c r="DF136" s="404">
        <f>IF(DF134&lt;90,DF134,0)</f>
        <v>0</v>
      </c>
      <c r="DG136" s="1" t="s">
        <v>2931</v>
      </c>
      <c r="DH136" s="405">
        <f t="shared" si="8"/>
        <v>0</v>
      </c>
      <c r="DI136" s="1" t="s">
        <v>2938</v>
      </c>
      <c r="DJ136" s="170">
        <f>IF(DH136&gt;0,80,0)</f>
        <v>0</v>
      </c>
      <c r="DK136" s="182"/>
      <c r="DM136" s="2"/>
      <c r="DN136" s="37" t="s">
        <v>3405</v>
      </c>
      <c r="DO136" s="37" t="s">
        <v>3405</v>
      </c>
      <c r="DP136" s="37" t="s">
        <v>3224</v>
      </c>
      <c r="DQ136" s="37" t="s">
        <v>3404</v>
      </c>
      <c r="DR136" s="37" t="s">
        <v>1177</v>
      </c>
      <c r="DS136" s="22"/>
      <c r="DT136" s="6"/>
      <c r="DZ136" s="48"/>
      <c r="EL136" s="3"/>
      <c r="EM136" s="3"/>
      <c r="FK136" s="135"/>
      <c r="FY136" s="2"/>
      <c r="FZ136" s="37" t="s">
        <v>3401</v>
      </c>
      <c r="GA136" s="37" t="s">
        <v>3401</v>
      </c>
      <c r="GB136" s="37" t="s">
        <v>1112</v>
      </c>
      <c r="GC136" s="37" t="s">
        <v>3936</v>
      </c>
      <c r="GD136" s="37" t="s">
        <v>1114</v>
      </c>
      <c r="GF136" s="22"/>
      <c r="GL136" s="48"/>
      <c r="GV136" s="128"/>
      <c r="GW136" s="128"/>
      <c r="HJ136" s="48"/>
      <c r="HK136" s="170"/>
      <c r="HM136" s="191">
        <v>20</v>
      </c>
      <c r="IB136" s="170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  <c r="IU136" s="1"/>
      <c r="IV136" s="1"/>
      <c r="IW136" s="1"/>
      <c r="IX136" s="1"/>
      <c r="IY136" s="1"/>
      <c r="IZ136" s="1"/>
      <c r="JA136" s="1"/>
      <c r="JB136" s="1"/>
      <c r="JC136" s="1"/>
      <c r="JD136" s="135"/>
    </row>
    <row r="137" spans="9:264" ht="20.25">
      <c r="I137" s="22"/>
      <c r="J137" s="156" t="s">
        <v>436</v>
      </c>
      <c r="K137" s="156" t="s">
        <v>436</v>
      </c>
      <c r="L137" s="22">
        <v>15</v>
      </c>
      <c r="M137" s="22">
        <v>24</v>
      </c>
      <c r="N137" s="22">
        <v>55.8</v>
      </c>
      <c r="O137" s="22">
        <v>58</v>
      </c>
      <c r="P137" s="22">
        <v>57</v>
      </c>
      <c r="Q137" s="22">
        <v>58</v>
      </c>
      <c r="R137" s="22" t="s">
        <v>437</v>
      </c>
      <c r="S137" s="23" t="s">
        <v>438</v>
      </c>
      <c r="AP137" s="375"/>
      <c r="AQ137" s="378"/>
      <c r="AR137" s="380"/>
      <c r="AS137" s="391"/>
      <c r="AT137" s="375"/>
      <c r="AU137" s="378"/>
      <c r="BD137" s="97"/>
      <c r="BS137" s="128"/>
      <c r="BT137" s="128"/>
      <c r="BW137" s="128"/>
      <c r="CJ137" s="123"/>
      <c r="CK137" s="6"/>
      <c r="CL137" s="6"/>
      <c r="CM137" s="6"/>
      <c r="CN137" s="6"/>
      <c r="CO137" s="6"/>
      <c r="CP137" s="6"/>
      <c r="CR137" s="138"/>
      <c r="CS137" s="1" t="s">
        <v>11</v>
      </c>
      <c r="CT137" s="65">
        <f>DD334</f>
        <v>0</v>
      </c>
      <c r="CW137" s="170"/>
      <c r="DC137" s="182"/>
      <c r="DE137" s="1" t="s">
        <v>2939</v>
      </c>
      <c r="DF137" s="404">
        <f>IF(DF134&lt;80,DF134,0)</f>
        <v>0</v>
      </c>
      <c r="DG137" s="1" t="s">
        <v>2931</v>
      </c>
      <c r="DH137" s="405">
        <f t="shared" si="8"/>
        <v>0</v>
      </c>
      <c r="DI137" s="1" t="s">
        <v>2940</v>
      </c>
      <c r="DJ137" s="170">
        <f>IF(DH137&gt;0,70,0)</f>
        <v>0</v>
      </c>
      <c r="DK137" s="182"/>
      <c r="DM137" s="2"/>
      <c r="DN137" s="37" t="s">
        <v>1176</v>
      </c>
      <c r="DO137" s="37" t="s">
        <v>1176</v>
      </c>
      <c r="DP137" s="37" t="s">
        <v>3224</v>
      </c>
      <c r="DQ137" s="37" t="s">
        <v>3404</v>
      </c>
      <c r="DR137" s="37" t="s">
        <v>1177</v>
      </c>
      <c r="DS137" s="22"/>
      <c r="DT137" s="6"/>
      <c r="DZ137" s="48"/>
      <c r="EL137" s="3"/>
      <c r="EM137" s="3"/>
      <c r="FK137" s="135"/>
      <c r="FY137" s="2"/>
      <c r="FZ137" s="37" t="s">
        <v>1112</v>
      </c>
      <c r="GA137" s="37" t="s">
        <v>1112</v>
      </c>
      <c r="GB137" s="37" t="s">
        <v>1112</v>
      </c>
      <c r="GC137" s="37" t="s">
        <v>3936</v>
      </c>
      <c r="GD137" s="37" t="s">
        <v>1114</v>
      </c>
      <c r="GF137" s="22"/>
      <c r="GL137" s="48"/>
      <c r="GV137" s="128"/>
      <c r="GW137" s="128"/>
      <c r="HJ137" s="48"/>
      <c r="HK137" s="170"/>
      <c r="HM137" s="1" t="s">
        <v>3935</v>
      </c>
      <c r="IB137" s="170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  <c r="IU137" s="1"/>
      <c r="IV137" s="1"/>
      <c r="IW137" s="1"/>
      <c r="IX137" s="1"/>
      <c r="IY137" s="1"/>
      <c r="IZ137" s="1"/>
      <c r="JA137" s="1"/>
      <c r="JB137" s="1"/>
      <c r="JC137" s="1"/>
      <c r="JD137" s="135"/>
    </row>
    <row r="138" spans="9:264">
      <c r="I138" s="22"/>
      <c r="J138" s="156" t="s">
        <v>439</v>
      </c>
      <c r="K138" s="156" t="s">
        <v>439</v>
      </c>
      <c r="L138" s="22">
        <v>12</v>
      </c>
      <c r="M138" s="22">
        <v>33</v>
      </c>
      <c r="N138" s="22">
        <v>29</v>
      </c>
      <c r="O138" s="22">
        <v>69</v>
      </c>
      <c r="P138" s="22">
        <v>47</v>
      </c>
      <c r="Q138" s="22">
        <v>18</v>
      </c>
      <c r="R138" s="22" t="s">
        <v>440</v>
      </c>
      <c r="S138" s="23" t="s">
        <v>441</v>
      </c>
      <c r="AP138" s="381"/>
      <c r="AQ138" s="382"/>
      <c r="AR138" s="375"/>
      <c r="AS138" s="388"/>
      <c r="AT138" s="375"/>
      <c r="AU138" s="382"/>
      <c r="BD138" s="97"/>
      <c r="BS138" s="261" t="s">
        <v>3160</v>
      </c>
      <c r="BT138" s="262"/>
      <c r="BU138" s="262"/>
      <c r="BV138" s="262"/>
      <c r="BW138" s="262"/>
      <c r="BX138" s="263"/>
      <c r="CB138" s="264" t="s">
        <v>3161</v>
      </c>
      <c r="CC138" s="265"/>
      <c r="CD138" s="265"/>
      <c r="CE138" s="265"/>
      <c r="CJ138" s="123"/>
      <c r="CK138" s="6"/>
      <c r="CL138" s="6"/>
      <c r="CM138" s="6"/>
      <c r="CN138" s="268" t="s">
        <v>3141</v>
      </c>
      <c r="CO138" s="269">
        <f>IF(CO117=0,2,0)</f>
        <v>0</v>
      </c>
      <c r="CP138" s="6"/>
      <c r="CR138" s="138"/>
      <c r="CS138" s="1" t="s">
        <v>3093</v>
      </c>
      <c r="CT138" s="65">
        <f>DD336</f>
        <v>0</v>
      </c>
      <c r="CW138" s="170"/>
      <c r="DC138" s="182"/>
      <c r="DE138" s="1" t="s">
        <v>2941</v>
      </c>
      <c r="DF138" s="404">
        <f>IF(DF134&lt;70,DF134,0)</f>
        <v>0</v>
      </c>
      <c r="DG138" s="1" t="s">
        <v>2931</v>
      </c>
      <c r="DH138" s="405">
        <f t="shared" si="8"/>
        <v>0</v>
      </c>
      <c r="DI138" s="1" t="s">
        <v>2942</v>
      </c>
      <c r="DJ138" s="170">
        <f>IF(DH138&gt;0,60,0)</f>
        <v>0</v>
      </c>
      <c r="DK138" s="182"/>
      <c r="DM138" s="2"/>
      <c r="DN138" s="37" t="s">
        <v>3406</v>
      </c>
      <c r="DO138" s="37" t="s">
        <v>3406</v>
      </c>
      <c r="DP138" s="37" t="s">
        <v>3224</v>
      </c>
      <c r="DQ138" s="37" t="s">
        <v>3404</v>
      </c>
      <c r="DR138" s="37" t="s">
        <v>1177</v>
      </c>
      <c r="DS138" s="22"/>
      <c r="DT138" s="6"/>
      <c r="DZ138" s="48"/>
      <c r="EL138" s="3"/>
      <c r="EM138" s="3"/>
      <c r="FK138" s="135"/>
      <c r="FY138" s="2"/>
      <c r="FZ138" s="37" t="s">
        <v>3403</v>
      </c>
      <c r="GA138" s="37" t="s">
        <v>3403</v>
      </c>
      <c r="GB138" s="37" t="s">
        <v>3224</v>
      </c>
      <c r="GC138" s="37" t="s">
        <v>3938</v>
      </c>
      <c r="GD138" s="37" t="s">
        <v>1179</v>
      </c>
      <c r="GF138" s="22"/>
      <c r="GL138" s="48"/>
      <c r="GV138" s="128"/>
      <c r="GW138" s="128"/>
      <c r="HJ138" s="48"/>
      <c r="HK138" s="170"/>
      <c r="HM138" s="1" t="s">
        <v>3738</v>
      </c>
      <c r="HN138" s="1">
        <f>IF(HN19=HM138,20,0)</f>
        <v>0</v>
      </c>
      <c r="IB138" s="170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  <c r="IU138" s="1"/>
      <c r="IV138" s="1"/>
      <c r="IW138" s="1"/>
      <c r="IX138" s="1"/>
      <c r="IY138" s="1"/>
      <c r="IZ138" s="1"/>
      <c r="JA138" s="1"/>
      <c r="JB138" s="1"/>
      <c r="JC138" s="1"/>
      <c r="JD138" s="135"/>
    </row>
    <row r="139" spans="9:264">
      <c r="I139" s="22"/>
      <c r="J139" s="156" t="s">
        <v>442</v>
      </c>
      <c r="K139" s="156" t="s">
        <v>442</v>
      </c>
      <c r="L139" s="22">
        <v>11</v>
      </c>
      <c r="M139" s="22">
        <v>31</v>
      </c>
      <c r="N139" s="22">
        <v>24.2</v>
      </c>
      <c r="O139" s="22">
        <v>69</v>
      </c>
      <c r="P139" s="22">
        <v>19</v>
      </c>
      <c r="Q139" s="22">
        <v>52</v>
      </c>
      <c r="R139" s="22" t="s">
        <v>443</v>
      </c>
      <c r="S139" s="23" t="s">
        <v>444</v>
      </c>
      <c r="AP139" s="381"/>
      <c r="AQ139" s="383"/>
      <c r="AR139" s="375"/>
      <c r="AS139" s="388"/>
      <c r="AT139" s="375"/>
      <c r="AU139" s="384"/>
      <c r="BD139" s="97"/>
      <c r="BS139" s="187" t="str">
        <f>BS88</f>
        <v/>
      </c>
      <c r="CB139" s="109" t="str">
        <f>BS108</f>
        <v/>
      </c>
      <c r="CJ139" s="123"/>
      <c r="CK139" s="6"/>
      <c r="CL139" s="6"/>
      <c r="CM139" s="6"/>
      <c r="CN139" s="270" t="s">
        <v>3129</v>
      </c>
      <c r="CO139" s="269">
        <f>IF(CO130&gt;90,5,0)</f>
        <v>0</v>
      </c>
      <c r="CP139" s="6"/>
      <c r="CR139" s="138"/>
      <c r="CW139" s="170"/>
      <c r="DC139" s="182"/>
      <c r="DE139" s="1" t="s">
        <v>2943</v>
      </c>
      <c r="DF139" s="404">
        <f>IF(DF134&lt;60,DF134,0)</f>
        <v>0</v>
      </c>
      <c r="DG139" s="1" t="s">
        <v>2931</v>
      </c>
      <c r="DH139" s="405">
        <f t="shared" si="8"/>
        <v>0</v>
      </c>
      <c r="DI139" s="1" t="s">
        <v>2944</v>
      </c>
      <c r="DJ139" s="170">
        <f>IF(DH139&gt;0,50,0)</f>
        <v>0</v>
      </c>
      <c r="DK139" s="182"/>
      <c r="DM139" s="2"/>
      <c r="DN139" s="37" t="s">
        <v>3224</v>
      </c>
      <c r="DO139" s="37" t="s">
        <v>3224</v>
      </c>
      <c r="DP139" s="37" t="s">
        <v>3224</v>
      </c>
      <c r="DQ139" s="37" t="s">
        <v>3404</v>
      </c>
      <c r="DR139" s="37" t="s">
        <v>1177</v>
      </c>
      <c r="DS139" s="22"/>
      <c r="DT139" s="6"/>
      <c r="DZ139" s="48"/>
      <c r="EL139" s="3"/>
      <c r="EM139" s="3"/>
      <c r="FK139" s="135"/>
      <c r="FY139" s="2"/>
      <c r="FZ139" s="37" t="s">
        <v>3223</v>
      </c>
      <c r="GA139" s="37" t="s">
        <v>3223</v>
      </c>
      <c r="GB139" s="37" t="s">
        <v>3224</v>
      </c>
      <c r="GC139" s="37" t="s">
        <v>3938</v>
      </c>
      <c r="GD139" s="37" t="s">
        <v>1179</v>
      </c>
      <c r="GF139" s="22"/>
      <c r="GL139" s="48"/>
      <c r="GV139" s="128"/>
      <c r="GW139" s="128"/>
      <c r="HJ139" s="48"/>
      <c r="HK139" s="170"/>
      <c r="HM139" s="1" t="s">
        <v>4054</v>
      </c>
      <c r="HN139" s="1">
        <f>IF(HN19=HM139,20,0)</f>
        <v>0</v>
      </c>
      <c r="IB139" s="170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  <c r="IU139" s="1"/>
      <c r="IV139" s="1"/>
      <c r="IW139" s="1"/>
      <c r="IX139" s="1"/>
      <c r="IY139" s="1"/>
      <c r="IZ139" s="1"/>
      <c r="JA139" s="1"/>
      <c r="JB139" s="1"/>
      <c r="JC139" s="1"/>
      <c r="JD139" s="135"/>
    </row>
    <row r="140" spans="9:264">
      <c r="I140" s="22"/>
      <c r="J140" s="156" t="s">
        <v>445</v>
      </c>
      <c r="K140" s="156" t="s">
        <v>445</v>
      </c>
      <c r="L140" s="22">
        <v>17</v>
      </c>
      <c r="M140" s="22">
        <v>32</v>
      </c>
      <c r="N140" s="22">
        <v>15.9</v>
      </c>
      <c r="O140" s="22">
        <v>55</v>
      </c>
      <c r="P140" s="22">
        <v>10</v>
      </c>
      <c r="Q140" s="22">
        <v>22</v>
      </c>
      <c r="R140" s="22" t="s">
        <v>446</v>
      </c>
      <c r="S140" s="23" t="s">
        <v>447</v>
      </c>
      <c r="AP140" s="381"/>
      <c r="AQ140" s="377"/>
      <c r="AR140" s="377"/>
      <c r="AS140" s="388"/>
      <c r="AT140" s="377"/>
      <c r="AU140" s="377"/>
      <c r="BD140" s="97"/>
      <c r="BS140" s="187" t="str">
        <f>BT88</f>
        <v/>
      </c>
      <c r="CB140" s="109" t="str">
        <f>BT108</f>
        <v/>
      </c>
      <c r="CJ140" s="123"/>
      <c r="CK140" s="268" t="s">
        <v>3140</v>
      </c>
      <c r="CL140" s="269">
        <f>IF(CL117=0,1,0)</f>
        <v>0</v>
      </c>
      <c r="CM140" s="6"/>
      <c r="CN140" s="270" t="s">
        <v>3117</v>
      </c>
      <c r="CO140" s="274">
        <f>IF(CO130&lt;0,CO130,0)</f>
        <v>0</v>
      </c>
      <c r="CP140" s="6"/>
      <c r="CR140" s="138"/>
      <c r="CW140" s="170"/>
      <c r="DC140" s="182"/>
      <c r="DE140" s="1" t="s">
        <v>2945</v>
      </c>
      <c r="DF140" s="404">
        <f>IF(DF134&lt;50,DF134,0)</f>
        <v>0</v>
      </c>
      <c r="DG140" s="1" t="s">
        <v>2931</v>
      </c>
      <c r="DH140" s="405">
        <f t="shared" si="8"/>
        <v>0</v>
      </c>
      <c r="DI140" s="1" t="s">
        <v>2946</v>
      </c>
      <c r="DJ140" s="170">
        <f>IF(DH140&gt;0,40,0)</f>
        <v>0</v>
      </c>
      <c r="DK140" s="182"/>
      <c r="DM140" s="2"/>
      <c r="DN140" s="37" t="s">
        <v>3407</v>
      </c>
      <c r="DO140" s="37" t="s">
        <v>3407</v>
      </c>
      <c r="DP140" s="37" t="s">
        <v>1184</v>
      </c>
      <c r="DQ140" s="37" t="s">
        <v>3408</v>
      </c>
      <c r="DR140" s="37" t="s">
        <v>1185</v>
      </c>
      <c r="DS140" s="22"/>
      <c r="DT140" s="6"/>
      <c r="DZ140" s="48"/>
      <c r="EL140" s="3"/>
      <c r="EM140" s="3"/>
      <c r="FK140" s="135"/>
      <c r="FY140" s="2"/>
      <c r="FZ140" s="37" t="s">
        <v>3405</v>
      </c>
      <c r="GA140" s="37" t="s">
        <v>3405</v>
      </c>
      <c r="GB140" s="37" t="s">
        <v>3224</v>
      </c>
      <c r="GC140" s="37" t="s">
        <v>3938</v>
      </c>
      <c r="GD140" s="37" t="s">
        <v>1179</v>
      </c>
      <c r="GF140" s="22"/>
      <c r="GL140" s="48"/>
      <c r="GV140" s="128"/>
      <c r="GW140" s="128"/>
      <c r="HJ140" s="48"/>
      <c r="HK140" s="170"/>
      <c r="HM140" s="1" t="s">
        <v>4055</v>
      </c>
      <c r="HN140" s="1">
        <f>IF(HN19=HM140,20,0)</f>
        <v>0</v>
      </c>
      <c r="IB140" s="170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  <c r="IU140" s="1"/>
      <c r="IV140" s="1"/>
      <c r="IW140" s="1"/>
      <c r="IX140" s="1"/>
      <c r="IY140" s="1"/>
      <c r="IZ140" s="1"/>
      <c r="JA140" s="1"/>
      <c r="JB140" s="1"/>
      <c r="JC140" s="1"/>
      <c r="JD140" s="135"/>
    </row>
    <row r="141" spans="9:264">
      <c r="I141" s="22"/>
      <c r="J141" s="156" t="s">
        <v>448</v>
      </c>
      <c r="K141" s="156" t="s">
        <v>448</v>
      </c>
      <c r="L141" s="22">
        <v>17</v>
      </c>
      <c r="M141" s="22">
        <v>53</v>
      </c>
      <c r="N141" s="22">
        <v>31.7</v>
      </c>
      <c r="O141" s="22">
        <v>56</v>
      </c>
      <c r="P141" s="22">
        <v>52</v>
      </c>
      <c r="Q141" s="22">
        <v>22</v>
      </c>
      <c r="R141" s="22" t="s">
        <v>449</v>
      </c>
      <c r="S141" s="23" t="s">
        <v>450</v>
      </c>
      <c r="AP141" s="375"/>
      <c r="AQ141" s="385"/>
      <c r="AR141" s="375"/>
      <c r="AS141" s="390"/>
      <c r="AT141" s="375"/>
      <c r="AU141" s="378"/>
      <c r="BD141" s="97"/>
      <c r="BW141" s="128"/>
      <c r="BX141" s="128"/>
      <c r="BY141" s="128"/>
      <c r="CJ141" s="123"/>
      <c r="CK141" s="270" t="s">
        <v>3127</v>
      </c>
      <c r="CL141" s="269">
        <f>IF(CL130&gt;24,3,0)</f>
        <v>0</v>
      </c>
      <c r="CM141" s="6"/>
      <c r="CN141" s="272" t="s">
        <v>3130</v>
      </c>
      <c r="CO141" s="269">
        <f>IF(CO140&lt;-90,6,0)</f>
        <v>0</v>
      </c>
      <c r="CP141" s="6"/>
      <c r="CR141" s="138"/>
      <c r="CW141" s="170"/>
      <c r="DC141" s="182"/>
      <c r="DE141" s="1" t="s">
        <v>2947</v>
      </c>
      <c r="DF141" s="404">
        <f>IF(DF134&lt;40,DF134,0)</f>
        <v>0</v>
      </c>
      <c r="DG141" s="1" t="s">
        <v>2931</v>
      </c>
      <c r="DH141" s="405">
        <f t="shared" si="8"/>
        <v>0</v>
      </c>
      <c r="DI141" s="1" t="s">
        <v>2948</v>
      </c>
      <c r="DJ141" s="170">
        <f>IF(DH141&gt;0,30,0)</f>
        <v>0</v>
      </c>
      <c r="DK141" s="182"/>
      <c r="DM141" s="2"/>
      <c r="DN141" s="37" t="s">
        <v>1184</v>
      </c>
      <c r="DO141" s="37" t="s">
        <v>1184</v>
      </c>
      <c r="DP141" s="37" t="s">
        <v>1184</v>
      </c>
      <c r="DQ141" s="37" t="s">
        <v>3408</v>
      </c>
      <c r="DR141" s="37" t="s">
        <v>1185</v>
      </c>
      <c r="DS141" s="22"/>
      <c r="DT141" s="6"/>
      <c r="DZ141" s="48"/>
      <c r="EL141" s="3"/>
      <c r="EM141" s="3"/>
      <c r="FK141" s="135"/>
      <c r="FY141" s="2"/>
      <c r="FZ141" s="37" t="s">
        <v>1176</v>
      </c>
      <c r="GA141" s="37" t="s">
        <v>1176</v>
      </c>
      <c r="GB141" s="37" t="s">
        <v>3224</v>
      </c>
      <c r="GC141" s="37" t="s">
        <v>3940</v>
      </c>
      <c r="GD141" s="37" t="s">
        <v>1179</v>
      </c>
      <c r="GF141" s="22"/>
      <c r="GL141" s="48"/>
      <c r="GV141" s="128"/>
      <c r="GW141" s="128"/>
      <c r="HJ141" s="48"/>
      <c r="HK141" s="170"/>
      <c r="HM141" s="1" t="s">
        <v>3937</v>
      </c>
      <c r="HN141" s="1">
        <f>IF(HN19=HM141,20,0)</f>
        <v>0</v>
      </c>
      <c r="IB141" s="170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  <c r="IU141" s="1"/>
      <c r="IV141" s="1"/>
      <c r="IW141" s="1"/>
      <c r="IX141" s="1"/>
      <c r="IY141" s="1"/>
      <c r="IZ141" s="1"/>
      <c r="JA141" s="1"/>
      <c r="JB141" s="1"/>
      <c r="JC141" s="1"/>
      <c r="JD141" s="135"/>
    </row>
    <row r="142" spans="9:264" ht="18.75">
      <c r="I142" s="22"/>
      <c r="J142" s="156" t="s">
        <v>451</v>
      </c>
      <c r="K142" s="156" t="s">
        <v>451</v>
      </c>
      <c r="L142" s="22">
        <v>19</v>
      </c>
      <c r="M142" s="22">
        <v>15</v>
      </c>
      <c r="N142" s="22">
        <v>33.1</v>
      </c>
      <c r="O142" s="22">
        <v>73</v>
      </c>
      <c r="P142" s="22">
        <v>21</v>
      </c>
      <c r="Q142" s="22">
        <v>20</v>
      </c>
      <c r="R142" s="22" t="s">
        <v>452</v>
      </c>
      <c r="S142" s="23" t="s">
        <v>453</v>
      </c>
      <c r="AP142" s="375"/>
      <c r="AQ142" s="385"/>
      <c r="AR142" s="379"/>
      <c r="AS142" s="388"/>
      <c r="AT142" s="375"/>
      <c r="AU142" s="378"/>
      <c r="BD142" s="97"/>
      <c r="BR142" s="128"/>
      <c r="BW142" s="128"/>
      <c r="BX142" s="128"/>
      <c r="BY142" s="128"/>
      <c r="CJ142" s="123"/>
      <c r="CK142" s="270" t="s">
        <v>3128</v>
      </c>
      <c r="CL142" s="269">
        <f>IF(CL130&lt;0,4,0)</f>
        <v>0</v>
      </c>
      <c r="CM142" s="127"/>
      <c r="CN142" s="215" t="s">
        <v>3049</v>
      </c>
      <c r="CO142" s="216"/>
      <c r="CP142" s="127"/>
      <c r="CR142" s="138"/>
      <c r="CW142" s="170"/>
      <c r="DC142" s="182"/>
      <c r="DE142" s="1" t="s">
        <v>2949</v>
      </c>
      <c r="DF142" s="404">
        <f>IF(DF134&lt;30,DF134,0)</f>
        <v>0</v>
      </c>
      <c r="DG142" s="1" t="s">
        <v>2931</v>
      </c>
      <c r="DH142" s="405">
        <f t="shared" si="8"/>
        <v>0</v>
      </c>
      <c r="DI142" s="1" t="s">
        <v>2950</v>
      </c>
      <c r="DJ142" s="170">
        <f>IF(DH142&gt;0,20,0)</f>
        <v>0</v>
      </c>
      <c r="DK142" s="182"/>
      <c r="DM142" s="2"/>
      <c r="DN142" s="37" t="s">
        <v>3409</v>
      </c>
      <c r="DO142" s="37" t="s">
        <v>3409</v>
      </c>
      <c r="DP142" s="37" t="s">
        <v>1189</v>
      </c>
      <c r="DQ142" s="37" t="s">
        <v>3410</v>
      </c>
      <c r="DR142" s="37" t="s">
        <v>1190</v>
      </c>
      <c r="DS142" s="22"/>
      <c r="DT142" s="6"/>
      <c r="DZ142" s="48"/>
      <c r="EL142" s="3"/>
      <c r="EM142" s="3"/>
      <c r="FK142" s="135"/>
      <c r="FY142" s="2"/>
      <c r="FZ142" s="37" t="s">
        <v>3406</v>
      </c>
      <c r="GA142" s="37" t="s">
        <v>3406</v>
      </c>
      <c r="GB142" s="37" t="s">
        <v>3224</v>
      </c>
      <c r="GC142" s="37" t="s">
        <v>3940</v>
      </c>
      <c r="GD142" s="37" t="s">
        <v>1179</v>
      </c>
      <c r="GF142" s="22"/>
      <c r="GL142" s="48"/>
      <c r="GV142" s="128"/>
      <c r="GW142" s="128"/>
      <c r="HJ142" s="48"/>
      <c r="HK142" s="170"/>
      <c r="HM142" s="1" t="s">
        <v>3939</v>
      </c>
      <c r="HN142" s="1">
        <f>IF(HN19=HM142,20,0)</f>
        <v>0</v>
      </c>
      <c r="IB142" s="170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  <c r="IU142" s="1"/>
      <c r="IV142" s="1"/>
      <c r="IW142" s="1"/>
      <c r="IX142" s="1"/>
      <c r="IY142" s="1"/>
      <c r="IZ142" s="1"/>
      <c r="JA142" s="1"/>
      <c r="JB142" s="1"/>
      <c r="JC142" s="1"/>
      <c r="JD142" s="135"/>
    </row>
    <row r="143" spans="9:264" ht="20.25">
      <c r="I143" s="22"/>
      <c r="J143" s="156" t="s">
        <v>454</v>
      </c>
      <c r="K143" s="156" t="s">
        <v>454</v>
      </c>
      <c r="L143" s="22">
        <v>18</v>
      </c>
      <c r="M143" s="22">
        <v>20</v>
      </c>
      <c r="N143" s="22">
        <v>45.5</v>
      </c>
      <c r="O143" s="22">
        <v>71</v>
      </c>
      <c r="P143" s="22">
        <v>20</v>
      </c>
      <c r="Q143" s="22">
        <v>16</v>
      </c>
      <c r="R143" s="22" t="s">
        <v>455</v>
      </c>
      <c r="S143" s="23" t="s">
        <v>456</v>
      </c>
      <c r="AP143" s="375"/>
      <c r="AQ143" s="385"/>
      <c r="AR143" s="380"/>
      <c r="AS143" s="391"/>
      <c r="AT143" s="375"/>
      <c r="AU143" s="378"/>
      <c r="BD143" s="97"/>
      <c r="BQ143" s="48"/>
      <c r="BR143" s="4"/>
      <c r="BS143" s="48" t="s">
        <v>3206</v>
      </c>
      <c r="BT143" s="48"/>
      <c r="BU143" s="48"/>
      <c r="BV143" s="128"/>
      <c r="BW143" s="128"/>
      <c r="BX143" s="128"/>
      <c r="BY143" s="128"/>
      <c r="CJ143" s="123"/>
      <c r="CK143" s="213" t="s">
        <v>3050</v>
      </c>
      <c r="CL143" s="214"/>
      <c r="CM143" s="127"/>
      <c r="CN143" s="215" t="s">
        <v>3051</v>
      </c>
      <c r="CO143" s="216"/>
      <c r="CP143" s="127"/>
      <c r="CR143" s="138"/>
      <c r="CW143" s="170"/>
      <c r="DC143" s="182"/>
      <c r="DE143" s="1" t="s">
        <v>2951</v>
      </c>
      <c r="DF143" s="404">
        <f>IF(DF134&lt;20,DF134,0)</f>
        <v>0</v>
      </c>
      <c r="DG143" s="1" t="s">
        <v>2931</v>
      </c>
      <c r="DH143" s="405">
        <f t="shared" si="8"/>
        <v>0</v>
      </c>
      <c r="DI143" s="1" t="s">
        <v>2952</v>
      </c>
      <c r="DJ143" s="170">
        <f>IF(DH143&gt;0,10,0)</f>
        <v>0</v>
      </c>
      <c r="DK143" s="182"/>
      <c r="DM143" s="2"/>
      <c r="DN143" s="37" t="s">
        <v>1189</v>
      </c>
      <c r="DO143" s="37" t="s">
        <v>1189</v>
      </c>
      <c r="DP143" s="37" t="s">
        <v>1189</v>
      </c>
      <c r="DQ143" s="37" t="s">
        <v>3410</v>
      </c>
      <c r="DR143" s="37" t="s">
        <v>1190</v>
      </c>
      <c r="DS143" s="22"/>
      <c r="DT143" s="6"/>
      <c r="DZ143" s="48"/>
      <c r="EL143" s="3"/>
      <c r="EM143" s="3"/>
      <c r="FK143" s="135"/>
      <c r="FY143" s="2"/>
      <c r="FZ143" s="37" t="s">
        <v>3224</v>
      </c>
      <c r="GA143" s="37" t="s">
        <v>3224</v>
      </c>
      <c r="GB143" s="37" t="s">
        <v>3224</v>
      </c>
      <c r="GC143" s="37" t="s">
        <v>3940</v>
      </c>
      <c r="GD143" s="37" t="s">
        <v>1179</v>
      </c>
      <c r="GF143" s="22"/>
      <c r="GL143" s="48"/>
      <c r="GV143" s="128"/>
      <c r="GW143" s="128"/>
      <c r="HJ143" s="48"/>
      <c r="HK143" s="170"/>
      <c r="HM143" s="1" t="s">
        <v>3688</v>
      </c>
      <c r="HN143" s="170">
        <f>HN142+HN141+HN138+HN139+HN140</f>
        <v>0</v>
      </c>
      <c r="IB143" s="170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  <c r="IT143" s="1"/>
      <c r="IU143" s="1"/>
      <c r="IV143" s="1"/>
      <c r="IW143" s="1"/>
      <c r="IX143" s="1"/>
      <c r="IY143" s="1"/>
      <c r="IZ143" s="1"/>
      <c r="JA143" s="1"/>
      <c r="JB143" s="1"/>
      <c r="JC143" s="1"/>
      <c r="JD143" s="135"/>
    </row>
    <row r="144" spans="9:264">
      <c r="I144" s="22"/>
      <c r="J144" s="156" t="s">
        <v>457</v>
      </c>
      <c r="K144" s="156" t="s">
        <v>457</v>
      </c>
      <c r="L144" s="22">
        <v>18</v>
      </c>
      <c r="M144" s="22">
        <v>21</v>
      </c>
      <c r="N144" s="22">
        <v>3.4</v>
      </c>
      <c r="O144" s="22">
        <v>72</v>
      </c>
      <c r="P144" s="22">
        <v>43</v>
      </c>
      <c r="Q144" s="22">
        <v>58</v>
      </c>
      <c r="R144" s="22" t="s">
        <v>458</v>
      </c>
      <c r="S144" s="23" t="s">
        <v>459</v>
      </c>
      <c r="AP144" s="375"/>
      <c r="AQ144" s="382"/>
      <c r="AR144" s="375"/>
      <c r="AS144" s="388"/>
      <c r="AT144" s="375"/>
      <c r="AU144" s="382"/>
      <c r="BD144" s="97"/>
      <c r="BQ144" s="423" t="s">
        <v>3301</v>
      </c>
      <c r="BR144" s="413"/>
      <c r="BS144" s="427" t="str">
        <f>DX28</f>
        <v/>
      </c>
      <c r="CJ144" s="123"/>
      <c r="CK144" s="217" t="s">
        <v>3052</v>
      </c>
      <c r="CL144" s="218"/>
      <c r="CM144" s="127"/>
      <c r="CN144" s="215" t="s">
        <v>3053</v>
      </c>
      <c r="CO144" s="216"/>
      <c r="CP144" s="127"/>
      <c r="CR144" s="138"/>
      <c r="CW144" s="170"/>
      <c r="DC144" s="182"/>
      <c r="DE144" s="1" t="s">
        <v>2953</v>
      </c>
      <c r="DF144" s="404">
        <f>IF(DF134&lt;10,DF134,0)</f>
        <v>0</v>
      </c>
      <c r="DG144" s="1" t="s">
        <v>2932</v>
      </c>
      <c r="DH144" s="405">
        <f>DH135+DH136+DH137+DH138+DH139+DH140+DH141+DH142+DH143</f>
        <v>0</v>
      </c>
      <c r="DI144" s="1" t="s">
        <v>2932</v>
      </c>
      <c r="DJ144" s="170">
        <f>DJ135+DJ136+DJ137+DJ138+DJ139+DJ140+DJ141+DJ142+DJ143</f>
        <v>0</v>
      </c>
      <c r="DK144" s="182"/>
      <c r="DM144" s="2"/>
      <c r="DN144" s="37" t="s">
        <v>3411</v>
      </c>
      <c r="DO144" s="37" t="s">
        <v>3411</v>
      </c>
      <c r="DP144" s="37" t="s">
        <v>109</v>
      </c>
      <c r="DQ144" s="37" t="s">
        <v>3412</v>
      </c>
      <c r="DR144" s="37" t="s">
        <v>110</v>
      </c>
      <c r="DS144" s="22"/>
      <c r="DT144" s="6"/>
      <c r="DZ144" s="48"/>
      <c r="EL144" s="3"/>
      <c r="EM144" s="3"/>
      <c r="FK144" s="135"/>
      <c r="FY144" s="2"/>
      <c r="FZ144" s="37" t="s">
        <v>3407</v>
      </c>
      <c r="GA144" s="37" t="s">
        <v>3407</v>
      </c>
      <c r="GB144" s="37" t="s">
        <v>1184</v>
      </c>
      <c r="GC144" s="37" t="s">
        <v>3943</v>
      </c>
      <c r="GD144" s="37" t="s">
        <v>1187</v>
      </c>
      <c r="GF144" s="22"/>
      <c r="GL144" s="48"/>
      <c r="GV144" s="128"/>
      <c r="GW144" s="128"/>
      <c r="HJ144" s="48"/>
      <c r="HK144" s="170"/>
      <c r="HM144" s="191">
        <v>21</v>
      </c>
      <c r="IB144" s="170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  <c r="IU144" s="1"/>
      <c r="IV144" s="1"/>
      <c r="IW144" s="1"/>
      <c r="IX144" s="1"/>
      <c r="IY144" s="1"/>
      <c r="IZ144" s="1"/>
      <c r="JA144" s="1"/>
      <c r="JB144" s="1"/>
      <c r="JC144" s="1"/>
      <c r="JD144" s="135"/>
    </row>
    <row r="145" spans="9:264">
      <c r="I145" s="32" t="s">
        <v>0</v>
      </c>
      <c r="J145" s="160" t="s">
        <v>460</v>
      </c>
      <c r="K145" s="160" t="s">
        <v>460</v>
      </c>
      <c r="L145" s="33" t="s">
        <v>461</v>
      </c>
      <c r="M145" s="33" t="s">
        <v>462</v>
      </c>
      <c r="N145" s="33" t="s">
        <v>462</v>
      </c>
      <c r="O145" s="33" t="s">
        <v>461</v>
      </c>
      <c r="P145" s="33" t="s">
        <v>462</v>
      </c>
      <c r="Q145" s="33" t="s">
        <v>462</v>
      </c>
      <c r="R145" s="33" t="s">
        <v>461</v>
      </c>
      <c r="S145" s="33" t="s">
        <v>462</v>
      </c>
      <c r="AP145" s="386"/>
      <c r="AQ145" s="375"/>
      <c r="AR145" s="376"/>
      <c r="AS145" s="388"/>
      <c r="AT145" s="618"/>
      <c r="AU145" s="618"/>
      <c r="BD145" s="97"/>
      <c r="BQ145" s="313" t="s">
        <v>3305</v>
      </c>
      <c r="BR145" s="6"/>
      <c r="BS145" s="137" t="str">
        <f>DX30</f>
        <v/>
      </c>
      <c r="CJ145" s="123"/>
      <c r="CK145" s="217" t="s">
        <v>3054</v>
      </c>
      <c r="CL145" s="219">
        <f>CL109</f>
        <v>3</v>
      </c>
      <c r="CM145" s="127"/>
      <c r="CN145" s="215" t="s">
        <v>2856</v>
      </c>
      <c r="CO145" s="216">
        <f>CO101</f>
        <v>3</v>
      </c>
      <c r="CP145" s="127"/>
      <c r="CR145" s="138"/>
      <c r="CW145" s="170"/>
      <c r="DC145" s="182"/>
      <c r="DG145" s="1" t="s">
        <v>2934</v>
      </c>
      <c r="DH145" s="406">
        <f>DH144-DJ144</f>
        <v>0</v>
      </c>
      <c r="DK145" s="182"/>
      <c r="DM145" s="2"/>
      <c r="DN145" s="37" t="s">
        <v>3413</v>
      </c>
      <c r="DO145" s="37" t="s">
        <v>3413</v>
      </c>
      <c r="DP145" s="37" t="s">
        <v>109</v>
      </c>
      <c r="DQ145" s="37" t="s">
        <v>3412</v>
      </c>
      <c r="DR145" s="37" t="s">
        <v>110</v>
      </c>
      <c r="DS145" s="22"/>
      <c r="DT145" s="6"/>
      <c r="DZ145" s="48"/>
      <c r="EL145" s="3"/>
      <c r="EM145" s="3"/>
      <c r="FK145" s="135"/>
      <c r="FY145" s="2"/>
      <c r="FZ145" s="37" t="s">
        <v>1184</v>
      </c>
      <c r="GA145" s="37" t="s">
        <v>1184</v>
      </c>
      <c r="GB145" s="37" t="s">
        <v>1184</v>
      </c>
      <c r="GC145" s="37" t="s">
        <v>3943</v>
      </c>
      <c r="GD145" s="37" t="s">
        <v>1187</v>
      </c>
      <c r="GF145" s="22"/>
      <c r="GL145" s="48"/>
      <c r="GV145" s="128"/>
      <c r="GW145" s="128"/>
      <c r="HJ145" s="48"/>
      <c r="HK145" s="170"/>
      <c r="HM145" s="1" t="s">
        <v>3941</v>
      </c>
      <c r="IB145" s="170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  <c r="IU145" s="1"/>
      <c r="IV145" s="1"/>
      <c r="IW145" s="1"/>
      <c r="IX145" s="1"/>
      <c r="IY145" s="1"/>
      <c r="IZ145" s="1"/>
      <c r="JA145" s="1"/>
      <c r="JB145" s="1"/>
      <c r="JC145" s="1"/>
      <c r="JD145" s="135"/>
    </row>
    <row r="146" spans="9:264">
      <c r="I146" s="34"/>
      <c r="J146" s="156" t="s">
        <v>463</v>
      </c>
      <c r="K146" s="156" t="s">
        <v>463</v>
      </c>
      <c r="L146" s="35">
        <v>5</v>
      </c>
      <c r="M146" s="35">
        <v>27</v>
      </c>
      <c r="N146" s="35">
        <v>28.2</v>
      </c>
      <c r="O146" s="35">
        <v>-12</v>
      </c>
      <c r="P146" s="35">
        <v>-41</v>
      </c>
      <c r="Q146" s="35">
        <v>-50</v>
      </c>
      <c r="R146" s="22" t="s">
        <v>464</v>
      </c>
      <c r="S146" s="128" t="s">
        <v>465</v>
      </c>
      <c r="AI146" s="5"/>
      <c r="AJ146" s="3"/>
      <c r="AK146" s="3"/>
      <c r="AL146" s="3"/>
      <c r="AM146" s="3"/>
      <c r="AN146" s="3"/>
      <c r="AO146" s="3"/>
      <c r="AP146" s="3"/>
      <c r="AQ146" s="3"/>
      <c r="AR146" s="3"/>
      <c r="AS146" s="388"/>
      <c r="AT146" s="618"/>
      <c r="AU146" s="618"/>
      <c r="BD146" s="97"/>
      <c r="BQ146" s="424" t="s">
        <v>3242</v>
      </c>
      <c r="BS146" s="135" t="str">
        <f>DX32</f>
        <v/>
      </c>
      <c r="CJ146" s="123"/>
      <c r="CK146" s="217" t="s">
        <v>3055</v>
      </c>
      <c r="CL146" s="219">
        <f>CO109</f>
        <v>3</v>
      </c>
      <c r="CM146" s="127"/>
      <c r="CN146" s="215" t="s">
        <v>2856</v>
      </c>
      <c r="CO146" s="216">
        <f>CL101</f>
        <v>3</v>
      </c>
      <c r="CP146" s="127"/>
      <c r="CR146" s="138"/>
      <c r="CW146" s="170"/>
      <c r="DC146" s="182"/>
      <c r="DD146" s="175"/>
      <c r="DE146" s="175" t="s">
        <v>3000</v>
      </c>
      <c r="DF146" s="65">
        <f>DF172</f>
        <v>0</v>
      </c>
      <c r="DH146" s="175"/>
      <c r="DK146" s="182"/>
      <c r="DM146" s="2"/>
      <c r="DN146" s="37" t="s">
        <v>3414</v>
      </c>
      <c r="DO146" s="37" t="s">
        <v>3414</v>
      </c>
      <c r="DP146" s="37" t="s">
        <v>109</v>
      </c>
      <c r="DQ146" s="37" t="s">
        <v>3412</v>
      </c>
      <c r="DR146" s="37" t="s">
        <v>110</v>
      </c>
      <c r="DS146" s="22"/>
      <c r="DT146" s="6"/>
      <c r="DZ146" s="48"/>
      <c r="EL146" s="3"/>
      <c r="EM146" s="3"/>
      <c r="FK146" s="135"/>
      <c r="FY146" s="2"/>
      <c r="FZ146" s="37" t="s">
        <v>3409</v>
      </c>
      <c r="GA146" s="37" t="s">
        <v>3409</v>
      </c>
      <c r="GB146" s="37" t="s">
        <v>1189</v>
      </c>
      <c r="GC146" s="37" t="s">
        <v>3945</v>
      </c>
      <c r="GD146" s="37" t="s">
        <v>1192</v>
      </c>
      <c r="GF146" s="22"/>
      <c r="GL146" s="48"/>
      <c r="GV146" s="128"/>
      <c r="GW146" s="128"/>
      <c r="HJ146" s="48"/>
      <c r="HK146" s="170"/>
      <c r="HM146" s="1" t="s">
        <v>3742</v>
      </c>
      <c r="HN146" s="1">
        <f>IF(HN19=HM146,21,0)</f>
        <v>0</v>
      </c>
      <c r="IB146" s="170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  <c r="IT146" s="1"/>
      <c r="IU146" s="1"/>
      <c r="IV146" s="1"/>
      <c r="IW146" s="1"/>
      <c r="IX146" s="1"/>
      <c r="IY146" s="1"/>
      <c r="IZ146" s="1"/>
      <c r="JA146" s="1"/>
      <c r="JB146" s="1"/>
      <c r="JC146" s="1"/>
      <c r="JD146" s="135"/>
    </row>
    <row r="147" spans="9:264">
      <c r="I147" s="34"/>
      <c r="J147" s="156" t="s">
        <v>466</v>
      </c>
      <c r="K147" s="156" t="s">
        <v>466</v>
      </c>
      <c r="L147" s="35">
        <v>18</v>
      </c>
      <c r="M147" s="35">
        <v>10</v>
      </c>
      <c r="N147" s="35">
        <v>44.3</v>
      </c>
      <c r="O147" s="35">
        <v>-7</v>
      </c>
      <c r="P147" s="35">
        <v>-12</v>
      </c>
      <c r="Q147" s="35">
        <v>-27</v>
      </c>
      <c r="R147" s="22" t="s">
        <v>467</v>
      </c>
      <c r="S147" s="23" t="s">
        <v>468</v>
      </c>
      <c r="AP147" s="375"/>
      <c r="AQ147" s="375"/>
      <c r="AR147" s="375"/>
      <c r="AS147" s="389"/>
      <c r="AT147" s="375"/>
      <c r="AU147" s="375"/>
      <c r="BD147" s="97"/>
      <c r="BQ147" s="200" t="s">
        <v>3513</v>
      </c>
      <c r="BS147" s="425" t="str">
        <f>DX34</f>
        <v/>
      </c>
      <c r="CJ147" s="123"/>
      <c r="CK147" s="220" t="s">
        <v>3056</v>
      </c>
      <c r="CL147" s="199">
        <f>CL145+CL146</f>
        <v>6</v>
      </c>
      <c r="CM147" s="80"/>
      <c r="CN147" s="221" t="s">
        <v>3056</v>
      </c>
      <c r="CO147" s="109">
        <f>CO145+CO146</f>
        <v>6</v>
      </c>
      <c r="CP147" s="80"/>
      <c r="CR147" s="138"/>
      <c r="CW147" s="170"/>
      <c r="DC147" s="182"/>
      <c r="DE147" s="402" t="s">
        <v>3001</v>
      </c>
      <c r="DF147" s="195">
        <f>IF(DF146&lt;10,DF146,DH145)</f>
        <v>0</v>
      </c>
      <c r="DG147" s="403" t="s">
        <v>3002</v>
      </c>
      <c r="DH147" s="402"/>
      <c r="DI147" s="402"/>
      <c r="DJ147" s="402"/>
      <c r="DK147" s="182"/>
      <c r="DM147" s="2"/>
      <c r="DN147" s="37" t="s">
        <v>109</v>
      </c>
      <c r="DO147" s="37" t="s">
        <v>109</v>
      </c>
      <c r="DP147" s="37" t="s">
        <v>109</v>
      </c>
      <c r="DQ147" s="37" t="s">
        <v>3412</v>
      </c>
      <c r="DR147" s="37" t="s">
        <v>110</v>
      </c>
      <c r="DS147" s="22"/>
      <c r="DT147" s="6"/>
      <c r="DZ147" s="48"/>
      <c r="EL147" s="3"/>
      <c r="EM147" s="3"/>
      <c r="FK147" s="135"/>
      <c r="FY147" s="2"/>
      <c r="FZ147" s="37" t="s">
        <v>1189</v>
      </c>
      <c r="GA147" s="37" t="s">
        <v>1189</v>
      </c>
      <c r="GB147" s="37" t="s">
        <v>1189</v>
      </c>
      <c r="GC147" s="37" t="s">
        <v>3945</v>
      </c>
      <c r="GD147" s="37" t="s">
        <v>1192</v>
      </c>
      <c r="GF147" s="22"/>
      <c r="GL147" s="48"/>
      <c r="GV147" s="128"/>
      <c r="GW147" s="128"/>
      <c r="HJ147" s="48"/>
      <c r="HK147" s="170"/>
      <c r="HM147" s="1" t="s">
        <v>3942</v>
      </c>
      <c r="HN147" s="1">
        <f>IF(HN19=HM147,21,0)</f>
        <v>0</v>
      </c>
      <c r="IB147" s="170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  <c r="IU147" s="1"/>
      <c r="IV147" s="1"/>
      <c r="IW147" s="1"/>
      <c r="IX147" s="1"/>
      <c r="IY147" s="1"/>
      <c r="IZ147" s="1"/>
      <c r="JA147" s="1"/>
      <c r="JB147" s="1"/>
      <c r="JC147" s="1"/>
      <c r="JD147" s="135"/>
    </row>
    <row r="148" spans="9:264">
      <c r="I148" s="34"/>
      <c r="J148" s="156" t="s">
        <v>469</v>
      </c>
      <c r="K148" s="156" t="s">
        <v>469</v>
      </c>
      <c r="L148" s="35">
        <v>3</v>
      </c>
      <c r="M148" s="35">
        <v>56</v>
      </c>
      <c r="N148" s="35">
        <v>22</v>
      </c>
      <c r="O148" s="35">
        <v>33</v>
      </c>
      <c r="P148" s="35">
        <v>52</v>
      </c>
      <c r="Q148" s="35">
        <v>29</v>
      </c>
      <c r="R148" s="22" t="s">
        <v>470</v>
      </c>
      <c r="S148" s="22" t="s">
        <v>470</v>
      </c>
      <c r="AS148" s="3"/>
      <c r="BD148" s="97"/>
      <c r="CJ148" s="123"/>
      <c r="CR148" s="138"/>
      <c r="CW148" s="170"/>
      <c r="DC148" s="182"/>
      <c r="DE148" s="1" t="s">
        <v>2953</v>
      </c>
      <c r="DF148" s="404">
        <f>IF(DF147&lt;10,DF147,0)</f>
        <v>0</v>
      </c>
      <c r="DG148" s="1" t="s">
        <v>2931</v>
      </c>
      <c r="DH148" s="1">
        <f t="shared" ref="DH148:DH156" si="9">IF(DF149=0,DF148,0)</f>
        <v>0</v>
      </c>
      <c r="DI148" s="1" t="s">
        <v>2954</v>
      </c>
      <c r="DJ148" s="170">
        <f>IF(DH148&gt;0,9,0)</f>
        <v>0</v>
      </c>
      <c r="DK148" s="182"/>
      <c r="DM148" s="2"/>
      <c r="DN148" s="37" t="s">
        <v>3415</v>
      </c>
      <c r="DO148" s="37" t="s">
        <v>3415</v>
      </c>
      <c r="DP148" s="37" t="s">
        <v>911</v>
      </c>
      <c r="DQ148" s="37" t="s">
        <v>3416</v>
      </c>
      <c r="DR148" s="37" t="s">
        <v>912</v>
      </c>
      <c r="DS148" s="22"/>
      <c r="DT148" s="6"/>
      <c r="DZ148" s="48"/>
      <c r="EL148" s="3"/>
      <c r="EM148" s="3"/>
      <c r="FK148" s="135"/>
      <c r="FY148" s="2"/>
      <c r="FZ148" s="37" t="s">
        <v>3411</v>
      </c>
      <c r="GA148" s="37" t="s">
        <v>3411</v>
      </c>
      <c r="GB148" s="37" t="s">
        <v>109</v>
      </c>
      <c r="GC148" s="37" t="s">
        <v>3947</v>
      </c>
      <c r="GD148" s="37" t="s">
        <v>114</v>
      </c>
      <c r="GF148" s="22"/>
      <c r="GL148" s="48"/>
      <c r="GV148" s="128"/>
      <c r="GW148" s="128"/>
      <c r="HJ148" s="48"/>
      <c r="HK148" s="170"/>
      <c r="HM148" s="1" t="s">
        <v>3944</v>
      </c>
      <c r="HN148" s="1">
        <f>IF(HN19=HM148,21,0)</f>
        <v>0</v>
      </c>
      <c r="IB148" s="170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  <c r="IU148" s="1"/>
      <c r="IV148" s="1"/>
      <c r="IW148" s="1"/>
      <c r="IX148" s="1"/>
      <c r="IY148" s="1"/>
      <c r="IZ148" s="1"/>
      <c r="JA148" s="1"/>
      <c r="JB148" s="1"/>
      <c r="JC148" s="1"/>
      <c r="JD148" s="135"/>
    </row>
    <row r="149" spans="9:264">
      <c r="I149" s="34"/>
      <c r="J149" s="156" t="s">
        <v>471</v>
      </c>
      <c r="K149" s="156" t="s">
        <v>471</v>
      </c>
      <c r="L149" s="35">
        <v>5</v>
      </c>
      <c r="M149" s="35">
        <v>56</v>
      </c>
      <c r="N149" s="35">
        <v>23.9</v>
      </c>
      <c r="O149" s="35">
        <v>46</v>
      </c>
      <c r="P149" s="35">
        <v>6</v>
      </c>
      <c r="Q149" s="35">
        <v>18</v>
      </c>
      <c r="R149" s="22" t="s">
        <v>472</v>
      </c>
      <c r="S149" s="23" t="s">
        <v>473</v>
      </c>
      <c r="AS149" s="3"/>
      <c r="BD149" s="97"/>
      <c r="CJ149" s="123"/>
      <c r="CR149" s="138"/>
      <c r="CW149" s="170"/>
      <c r="DC149" s="182"/>
      <c r="DE149" s="1" t="s">
        <v>2955</v>
      </c>
      <c r="DF149" s="404">
        <f>IF(DF147&lt;9,DF147,0)</f>
        <v>0</v>
      </c>
      <c r="DG149" s="1" t="s">
        <v>2931</v>
      </c>
      <c r="DH149" s="1">
        <f t="shared" si="9"/>
        <v>0</v>
      </c>
      <c r="DI149" s="1" t="s">
        <v>2956</v>
      </c>
      <c r="DJ149" s="170">
        <f>IF(DH149&gt;0,8,0)</f>
        <v>0</v>
      </c>
      <c r="DK149" s="182"/>
      <c r="DM149" s="2"/>
      <c r="DN149" s="37" t="s">
        <v>3417</v>
      </c>
      <c r="DO149" s="37" t="s">
        <v>3417</v>
      </c>
      <c r="DP149" s="37" t="s">
        <v>911</v>
      </c>
      <c r="DQ149" s="37" t="s">
        <v>3416</v>
      </c>
      <c r="DR149" s="37" t="s">
        <v>912</v>
      </c>
      <c r="DS149" s="22"/>
      <c r="DT149" s="6"/>
      <c r="DZ149" s="48"/>
      <c r="EL149" s="3"/>
      <c r="EM149" s="3"/>
      <c r="FK149" s="135"/>
      <c r="FY149" s="2"/>
      <c r="FZ149" s="37" t="s">
        <v>3413</v>
      </c>
      <c r="GA149" s="37" t="s">
        <v>3413</v>
      </c>
      <c r="GB149" s="37" t="s">
        <v>109</v>
      </c>
      <c r="GC149" s="37" t="s">
        <v>3948</v>
      </c>
      <c r="GD149" s="37" t="s">
        <v>114</v>
      </c>
      <c r="GF149" s="22"/>
      <c r="GL149" s="48"/>
      <c r="GV149" s="128"/>
      <c r="GW149" s="128"/>
      <c r="HJ149" s="48"/>
      <c r="HK149" s="170"/>
      <c r="HM149" s="1" t="s">
        <v>3688</v>
      </c>
      <c r="HN149" s="170">
        <f>HN146+HN147+HN148</f>
        <v>0</v>
      </c>
      <c r="IB149" s="170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  <c r="IU149" s="1"/>
      <c r="IV149" s="1"/>
      <c r="IW149" s="1"/>
      <c r="IX149" s="1"/>
      <c r="IY149" s="1"/>
      <c r="IZ149" s="1"/>
      <c r="JA149" s="1"/>
      <c r="JB149" s="1"/>
      <c r="JC149" s="1"/>
      <c r="JD149" s="135"/>
    </row>
    <row r="150" spans="9:264">
      <c r="I150" s="34"/>
      <c r="J150" s="156" t="s">
        <v>474</v>
      </c>
      <c r="K150" s="156" t="s">
        <v>474</v>
      </c>
      <c r="L150" s="35">
        <v>6</v>
      </c>
      <c r="M150" s="35">
        <v>21</v>
      </c>
      <c r="N150" s="35">
        <v>42.8</v>
      </c>
      <c r="O150" s="35">
        <v>-12</v>
      </c>
      <c r="P150" s="35">
        <v>-59</v>
      </c>
      <c r="Q150" s="35">
        <v>-14</v>
      </c>
      <c r="R150" s="22" t="s">
        <v>475</v>
      </c>
      <c r="S150" s="23" t="s">
        <v>473</v>
      </c>
      <c r="AS150" s="3"/>
      <c r="BD150" s="97"/>
      <c r="CJ150" s="123"/>
      <c r="CR150" s="138"/>
      <c r="CW150" s="170"/>
      <c r="DC150" s="182"/>
      <c r="DE150" s="1" t="s">
        <v>2957</v>
      </c>
      <c r="DF150" s="404">
        <f>IF(DF147&lt;8,DF147,0)</f>
        <v>0</v>
      </c>
      <c r="DG150" s="1" t="s">
        <v>2931</v>
      </c>
      <c r="DH150" s="1">
        <f t="shared" si="9"/>
        <v>0</v>
      </c>
      <c r="DI150" s="1" t="s">
        <v>2958</v>
      </c>
      <c r="DJ150" s="170">
        <f>IF(DH150&gt;0,7,0)</f>
        <v>0</v>
      </c>
      <c r="DK150" s="182"/>
      <c r="DM150" s="2"/>
      <c r="DN150" s="37" t="s">
        <v>3418</v>
      </c>
      <c r="DO150" s="37" t="s">
        <v>3418</v>
      </c>
      <c r="DP150" s="37" t="s">
        <v>911</v>
      </c>
      <c r="DQ150" s="37" t="s">
        <v>3416</v>
      </c>
      <c r="DR150" s="37" t="s">
        <v>912</v>
      </c>
      <c r="DS150" s="22"/>
      <c r="DT150" s="6"/>
      <c r="DZ150" s="48"/>
      <c r="EL150" s="3"/>
      <c r="EM150" s="3"/>
      <c r="FK150" s="135"/>
      <c r="FY150" s="2"/>
      <c r="FZ150" s="37" t="s">
        <v>3414</v>
      </c>
      <c r="GA150" s="37" t="s">
        <v>3414</v>
      </c>
      <c r="GB150" s="37" t="s">
        <v>109</v>
      </c>
      <c r="GC150" s="37" t="s">
        <v>3947</v>
      </c>
      <c r="GD150" s="37" t="s">
        <v>114</v>
      </c>
      <c r="GF150" s="22"/>
      <c r="GL150" s="48"/>
      <c r="GV150" s="128"/>
      <c r="GW150" s="128"/>
      <c r="HJ150" s="48"/>
      <c r="HK150" s="170"/>
      <c r="HM150" s="191">
        <v>22</v>
      </c>
      <c r="IB150" s="170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35"/>
    </row>
    <row r="151" spans="9:264">
      <c r="I151" s="34"/>
      <c r="J151" s="156" t="s">
        <v>476</v>
      </c>
      <c r="K151" s="156" t="s">
        <v>476</v>
      </c>
      <c r="L151" s="35">
        <v>12</v>
      </c>
      <c r="M151" s="35">
        <v>33</v>
      </c>
      <c r="N151" s="35">
        <v>6.9</v>
      </c>
      <c r="O151" s="35">
        <v>82</v>
      </c>
      <c r="P151" s="35">
        <v>33</v>
      </c>
      <c r="Q151" s="35">
        <v>49</v>
      </c>
      <c r="R151" s="22" t="s">
        <v>477</v>
      </c>
      <c r="S151" s="128" t="s">
        <v>478</v>
      </c>
      <c r="AS151" s="3"/>
      <c r="BD151" s="97"/>
      <c r="CJ151" s="123"/>
      <c r="CR151" s="138"/>
      <c r="CW151" s="170"/>
      <c r="DC151" s="182"/>
      <c r="DE151" s="1" t="s">
        <v>2959</v>
      </c>
      <c r="DF151" s="404">
        <f>IF(DF147&lt;7,DF147,0)</f>
        <v>0</v>
      </c>
      <c r="DG151" s="1" t="s">
        <v>2931</v>
      </c>
      <c r="DH151" s="1">
        <f t="shared" si="9"/>
        <v>0</v>
      </c>
      <c r="DI151" s="1" t="s">
        <v>2960</v>
      </c>
      <c r="DJ151" s="170">
        <f>IF(DH151&gt;0,6,0)</f>
        <v>0</v>
      </c>
      <c r="DK151" s="182"/>
      <c r="DM151" s="2"/>
      <c r="DN151" s="37" t="s">
        <v>3419</v>
      </c>
      <c r="DO151" s="37" t="s">
        <v>3419</v>
      </c>
      <c r="DP151" s="37" t="s">
        <v>911</v>
      </c>
      <c r="DQ151" s="37" t="s">
        <v>3416</v>
      </c>
      <c r="DR151" s="37" t="s">
        <v>912</v>
      </c>
      <c r="DS151" s="22"/>
      <c r="DT151" s="6"/>
      <c r="DZ151" s="48"/>
      <c r="EL151" s="3"/>
      <c r="EM151" s="3"/>
      <c r="FK151" s="135"/>
      <c r="FY151" s="2"/>
      <c r="FZ151" s="37" t="s">
        <v>109</v>
      </c>
      <c r="GA151" s="37" t="s">
        <v>109</v>
      </c>
      <c r="GB151" s="37" t="s">
        <v>109</v>
      </c>
      <c r="GC151" s="37" t="s">
        <v>3947</v>
      </c>
      <c r="GD151" s="37" t="s">
        <v>114</v>
      </c>
      <c r="GF151" s="22"/>
      <c r="GL151" s="48"/>
      <c r="GV151" s="128"/>
      <c r="GW151" s="128"/>
      <c r="HJ151" s="48"/>
      <c r="HK151" s="170"/>
      <c r="HM151" s="1" t="s">
        <v>3946</v>
      </c>
      <c r="IB151" s="170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35"/>
    </row>
    <row r="152" spans="9:264">
      <c r="I152" s="34"/>
      <c r="J152" s="156" t="s">
        <v>479</v>
      </c>
      <c r="K152" s="156" t="s">
        <v>479</v>
      </c>
      <c r="L152" s="35">
        <v>18</v>
      </c>
      <c r="M152" s="35">
        <v>45</v>
      </c>
      <c r="N152" s="35">
        <v>50.7</v>
      </c>
      <c r="O152" s="35">
        <v>-33</v>
      </c>
      <c r="P152" s="35">
        <v>-20</v>
      </c>
      <c r="Q152" s="35">
        <v>-34</v>
      </c>
      <c r="R152" s="22" t="s">
        <v>480</v>
      </c>
      <c r="S152" s="23" t="s">
        <v>473</v>
      </c>
      <c r="AS152" s="3"/>
      <c r="BD152" s="97"/>
      <c r="CJ152" s="123"/>
      <c r="CR152" s="138"/>
      <c r="CW152" s="170"/>
      <c r="DC152" s="182"/>
      <c r="DE152" s="1" t="s">
        <v>2961</v>
      </c>
      <c r="DF152" s="404">
        <f>IF(DF147&lt;6,DF147,0)</f>
        <v>0</v>
      </c>
      <c r="DG152" s="1" t="s">
        <v>2931</v>
      </c>
      <c r="DH152" s="1">
        <f t="shared" si="9"/>
        <v>0</v>
      </c>
      <c r="DI152" s="1" t="s">
        <v>2962</v>
      </c>
      <c r="DJ152" s="170">
        <f>IF(DH152&gt;0,5,0)</f>
        <v>0</v>
      </c>
      <c r="DK152" s="182"/>
      <c r="DM152" s="2"/>
      <c r="DN152" s="37" t="s">
        <v>3420</v>
      </c>
      <c r="DO152" s="37" t="s">
        <v>3420</v>
      </c>
      <c r="DP152" s="37" t="s">
        <v>911</v>
      </c>
      <c r="DQ152" s="37" t="s">
        <v>3416</v>
      </c>
      <c r="DR152" s="37" t="s">
        <v>912</v>
      </c>
      <c r="DS152" s="22"/>
      <c r="DT152" s="6"/>
      <c r="DZ152" s="48"/>
      <c r="EL152" s="3"/>
      <c r="EM152" s="3"/>
      <c r="FK152" s="135"/>
      <c r="FY152" s="2"/>
      <c r="FZ152" s="37" t="s">
        <v>3415</v>
      </c>
      <c r="GA152" s="37" t="s">
        <v>3415</v>
      </c>
      <c r="GB152" s="37" t="s">
        <v>911</v>
      </c>
      <c r="GC152" s="37" t="s">
        <v>3952</v>
      </c>
      <c r="GD152" s="37" t="s">
        <v>3708</v>
      </c>
      <c r="GF152" s="22"/>
      <c r="GL152" s="48"/>
      <c r="GV152" s="128"/>
      <c r="GW152" s="128"/>
      <c r="HJ152" s="48"/>
      <c r="HK152" s="170"/>
      <c r="HM152" s="1" t="s">
        <v>3746</v>
      </c>
      <c r="HN152" s="1">
        <f>IF(HN19=HM152,22,0)</f>
        <v>0</v>
      </c>
      <c r="IB152" s="170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35"/>
    </row>
    <row r="153" spans="9:264">
      <c r="I153" s="34"/>
      <c r="J153" s="156" t="s">
        <v>481</v>
      </c>
      <c r="K153" s="156" t="s">
        <v>481</v>
      </c>
      <c r="L153" s="35">
        <v>20</v>
      </c>
      <c r="M153" s="35">
        <v>20</v>
      </c>
      <c r="N153" s="35">
        <v>8.6999999999999993</v>
      </c>
      <c r="O153" s="35">
        <v>16</v>
      </c>
      <c r="P153" s="35">
        <v>43</v>
      </c>
      <c r="Q153" s="35">
        <v>54</v>
      </c>
      <c r="R153" s="22" t="s">
        <v>482</v>
      </c>
      <c r="S153" s="23" t="s">
        <v>473</v>
      </c>
      <c r="AS153" s="3"/>
      <c r="BD153" s="97"/>
      <c r="CJ153" s="123"/>
      <c r="CR153" s="138"/>
      <c r="CW153" s="170"/>
      <c r="DC153" s="182"/>
      <c r="DE153" s="1" t="s">
        <v>2963</v>
      </c>
      <c r="DF153" s="404">
        <f>IF(DF147&lt;5,DF147,0)</f>
        <v>0</v>
      </c>
      <c r="DG153" s="1" t="s">
        <v>2931</v>
      </c>
      <c r="DH153" s="1">
        <f t="shared" si="9"/>
        <v>0</v>
      </c>
      <c r="DI153" s="1" t="s">
        <v>2964</v>
      </c>
      <c r="DJ153" s="170">
        <f>IF(DH153&gt;0,4,0)</f>
        <v>0</v>
      </c>
      <c r="DK153" s="182"/>
      <c r="DM153" s="2"/>
      <c r="DN153" s="37" t="s">
        <v>3421</v>
      </c>
      <c r="DO153" s="37" t="s">
        <v>3421</v>
      </c>
      <c r="DP153" s="37" t="s">
        <v>911</v>
      </c>
      <c r="DQ153" s="37" t="s">
        <v>3416</v>
      </c>
      <c r="DR153" s="37" t="s">
        <v>912</v>
      </c>
      <c r="DS153" s="22"/>
      <c r="DT153" s="6"/>
      <c r="DZ153" s="48"/>
      <c r="EL153" s="3"/>
      <c r="EM153" s="3"/>
      <c r="FK153" s="135"/>
      <c r="FY153" s="2"/>
      <c r="FZ153" s="37" t="s">
        <v>3417</v>
      </c>
      <c r="GA153" s="37" t="s">
        <v>3417</v>
      </c>
      <c r="GB153" s="37" t="s">
        <v>911</v>
      </c>
      <c r="GC153" s="37" t="s">
        <v>3952</v>
      </c>
      <c r="GD153" s="37" t="s">
        <v>3708</v>
      </c>
      <c r="GF153" s="22"/>
      <c r="GL153" s="48"/>
      <c r="GV153" s="128"/>
      <c r="GW153" s="128"/>
      <c r="HJ153" s="48"/>
      <c r="HK153" s="170"/>
      <c r="HM153" s="1" t="s">
        <v>3949</v>
      </c>
      <c r="HN153" s="1">
        <f>IF(HN19=HM153,22,0)</f>
        <v>0</v>
      </c>
      <c r="IB153" s="170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35"/>
    </row>
    <row r="154" spans="9:264">
      <c r="I154" s="34"/>
      <c r="J154" s="156" t="s">
        <v>483</v>
      </c>
      <c r="K154" s="156" t="s">
        <v>483</v>
      </c>
      <c r="L154" s="35">
        <v>21</v>
      </c>
      <c r="M154" s="35">
        <v>53</v>
      </c>
      <c r="N154" s="35">
        <v>24</v>
      </c>
      <c r="O154" s="35">
        <v>47</v>
      </c>
      <c r="P154" s="35">
        <v>16</v>
      </c>
      <c r="Q154" s="35">
        <v>0</v>
      </c>
      <c r="R154" s="22" t="s">
        <v>484</v>
      </c>
      <c r="S154" s="23" t="s">
        <v>485</v>
      </c>
      <c r="AS154" s="3"/>
      <c r="BD154" s="97"/>
      <c r="CJ154" s="123"/>
      <c r="CR154" s="138"/>
      <c r="CW154" s="170"/>
      <c r="DC154" s="182"/>
      <c r="DE154" s="1" t="s">
        <v>2965</v>
      </c>
      <c r="DF154" s="404">
        <f>IF(DF147&lt;4,DF147,0)</f>
        <v>0</v>
      </c>
      <c r="DG154" s="1" t="s">
        <v>2931</v>
      </c>
      <c r="DH154" s="1">
        <f t="shared" si="9"/>
        <v>0</v>
      </c>
      <c r="DI154" s="1" t="s">
        <v>2966</v>
      </c>
      <c r="DJ154" s="170">
        <f>IF(DH154&gt;0,3,0)</f>
        <v>0</v>
      </c>
      <c r="DK154" s="182"/>
      <c r="DM154" s="2"/>
      <c r="DN154" s="37" t="s">
        <v>3422</v>
      </c>
      <c r="DO154" s="37" t="s">
        <v>3422</v>
      </c>
      <c r="DP154" s="37" t="s">
        <v>911</v>
      </c>
      <c r="DQ154" s="37" t="s">
        <v>3416</v>
      </c>
      <c r="DR154" s="37" t="s">
        <v>912</v>
      </c>
      <c r="DS154" s="22"/>
      <c r="DT154" s="6"/>
      <c r="DZ154" s="48"/>
      <c r="EL154" s="3"/>
      <c r="EM154" s="3"/>
      <c r="FK154" s="135"/>
      <c r="FY154" s="2"/>
      <c r="FZ154" s="37" t="s">
        <v>3418</v>
      </c>
      <c r="GA154" s="37" t="s">
        <v>3418</v>
      </c>
      <c r="GB154" s="37" t="s">
        <v>911</v>
      </c>
      <c r="GC154" s="37" t="s">
        <v>3952</v>
      </c>
      <c r="GD154" s="37" t="s">
        <v>3708</v>
      </c>
      <c r="GF154" s="22"/>
      <c r="GL154" s="48"/>
      <c r="GV154" s="128"/>
      <c r="GW154" s="128"/>
      <c r="HJ154" s="48"/>
      <c r="HK154" s="170"/>
      <c r="HM154" s="1" t="s">
        <v>3950</v>
      </c>
      <c r="HN154" s="1">
        <f>IF(HN19=HM154,22,0)</f>
        <v>0</v>
      </c>
      <c r="IB154" s="170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35"/>
    </row>
    <row r="155" spans="9:264">
      <c r="I155" s="34"/>
      <c r="J155" s="156" t="s">
        <v>486</v>
      </c>
      <c r="K155" s="156" t="s">
        <v>486</v>
      </c>
      <c r="L155" s="35">
        <v>22</v>
      </c>
      <c r="M155" s="35">
        <v>58</v>
      </c>
      <c r="N155" s="35">
        <v>1.8</v>
      </c>
      <c r="O155" s="35">
        <v>-33</v>
      </c>
      <c r="P155" s="35">
        <v>-43</v>
      </c>
      <c r="Q155" s="35">
        <v>-32</v>
      </c>
      <c r="R155" s="22" t="s">
        <v>487</v>
      </c>
      <c r="S155" s="23" t="s">
        <v>488</v>
      </c>
      <c r="AS155" s="3"/>
      <c r="BD155" s="97"/>
      <c r="CJ155" s="123"/>
      <c r="CR155" s="138"/>
      <c r="CW155" s="170"/>
      <c r="DC155" s="182"/>
      <c r="DE155" s="1" t="s">
        <v>2967</v>
      </c>
      <c r="DF155" s="404">
        <f>IF(DF147&lt;3,DF147,0)</f>
        <v>0</v>
      </c>
      <c r="DG155" s="1" t="s">
        <v>2931</v>
      </c>
      <c r="DH155" s="1">
        <f t="shared" si="9"/>
        <v>0</v>
      </c>
      <c r="DI155" s="1" t="s">
        <v>2968</v>
      </c>
      <c r="DJ155" s="170">
        <f>IF(DH155&gt;0,2,0)</f>
        <v>0</v>
      </c>
      <c r="DK155" s="182"/>
      <c r="DM155" s="2"/>
      <c r="DN155" s="37" t="s">
        <v>3423</v>
      </c>
      <c r="DO155" s="37" t="s">
        <v>3423</v>
      </c>
      <c r="DP155" s="37" t="s">
        <v>911</v>
      </c>
      <c r="DQ155" s="37" t="s">
        <v>3416</v>
      </c>
      <c r="DR155" s="37" t="s">
        <v>912</v>
      </c>
      <c r="DS155" s="22"/>
      <c r="DT155" s="6"/>
      <c r="DZ155" s="48"/>
      <c r="EL155" s="3"/>
      <c r="EM155" s="3"/>
      <c r="FK155" s="135"/>
      <c r="FY155" s="2"/>
      <c r="FZ155" s="37" t="s">
        <v>3419</v>
      </c>
      <c r="GA155" s="37" t="s">
        <v>3419</v>
      </c>
      <c r="GB155" s="37" t="s">
        <v>911</v>
      </c>
      <c r="GC155" s="37" t="s">
        <v>3952</v>
      </c>
      <c r="GD155" s="37" t="s">
        <v>3708</v>
      </c>
      <c r="GF155" s="22"/>
      <c r="GL155" s="48"/>
      <c r="GV155" s="128"/>
      <c r="GW155" s="128"/>
      <c r="HJ155" s="48"/>
      <c r="HK155" s="170"/>
      <c r="HM155" s="1" t="s">
        <v>3951</v>
      </c>
      <c r="HN155" s="1">
        <f>IF(HN19=HM155,22,0)</f>
        <v>0</v>
      </c>
      <c r="IB155" s="170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35"/>
    </row>
    <row r="156" spans="9:264">
      <c r="I156" s="36" t="s">
        <v>489</v>
      </c>
      <c r="J156" s="157" t="s">
        <v>490</v>
      </c>
      <c r="K156" s="157" t="s">
        <v>490</v>
      </c>
      <c r="L156" s="24" t="s">
        <v>39</v>
      </c>
      <c r="M156" s="24" t="s">
        <v>489</v>
      </c>
      <c r="N156" s="24" t="s">
        <v>489</v>
      </c>
      <c r="O156" s="24" t="s">
        <v>40</v>
      </c>
      <c r="P156" s="24" t="s">
        <v>491</v>
      </c>
      <c r="Q156" s="24" t="s">
        <v>492</v>
      </c>
      <c r="R156" s="24" t="s">
        <v>493</v>
      </c>
      <c r="S156" s="24" t="s">
        <v>491</v>
      </c>
      <c r="AS156" s="3"/>
      <c r="BD156" s="97"/>
      <c r="CJ156" s="123"/>
      <c r="CR156" s="138"/>
      <c r="CW156" s="170"/>
      <c r="DC156" s="182"/>
      <c r="DE156" s="1" t="s">
        <v>2969</v>
      </c>
      <c r="DF156" s="404">
        <f>IF(DF147&lt;2,DF147,0)</f>
        <v>0</v>
      </c>
      <c r="DG156" s="1" t="s">
        <v>2931</v>
      </c>
      <c r="DH156" s="1">
        <f t="shared" si="9"/>
        <v>0</v>
      </c>
      <c r="DI156" s="1" t="s">
        <v>2970</v>
      </c>
      <c r="DJ156" s="170">
        <f>IF(DH156&gt;0,1,0)</f>
        <v>0</v>
      </c>
      <c r="DK156" s="182"/>
      <c r="DM156" s="2"/>
      <c r="DN156" s="37" t="s">
        <v>3424</v>
      </c>
      <c r="DO156" s="37" t="s">
        <v>3424</v>
      </c>
      <c r="DP156" s="37" t="s">
        <v>911</v>
      </c>
      <c r="DQ156" s="37" t="s">
        <v>3416</v>
      </c>
      <c r="DR156" s="37" t="s">
        <v>912</v>
      </c>
      <c r="DS156" s="22"/>
      <c r="DT156" s="6"/>
      <c r="DZ156" s="48"/>
      <c r="EL156" s="3"/>
      <c r="EM156" s="3"/>
      <c r="FK156" s="135"/>
      <c r="FY156" s="2"/>
      <c r="FZ156" s="37" t="s">
        <v>3420</v>
      </c>
      <c r="GA156" s="37" t="s">
        <v>3420</v>
      </c>
      <c r="GB156" s="37" t="s">
        <v>911</v>
      </c>
      <c r="GC156" s="37" t="s">
        <v>3952</v>
      </c>
      <c r="GD156" s="37" t="s">
        <v>3708</v>
      </c>
      <c r="GF156" s="22"/>
      <c r="GL156" s="48"/>
      <c r="GV156" s="128"/>
      <c r="GW156" s="128"/>
      <c r="HJ156" s="48"/>
      <c r="HK156" s="170"/>
      <c r="HM156" s="1" t="s">
        <v>3688</v>
      </c>
      <c r="HN156" s="170">
        <f>HN152+HN153+HN154+HN155</f>
        <v>0</v>
      </c>
      <c r="IB156" s="170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35"/>
    </row>
    <row r="157" spans="9:264">
      <c r="I157" s="30"/>
      <c r="J157" s="156" t="s">
        <v>494</v>
      </c>
      <c r="K157" s="156" t="s">
        <v>494</v>
      </c>
      <c r="L157" s="22">
        <v>10</v>
      </c>
      <c r="M157" s="22">
        <v>7</v>
      </c>
      <c r="N157" s="22">
        <v>56.3</v>
      </c>
      <c r="O157" s="22">
        <v>0</v>
      </c>
      <c r="P157" s="22">
        <v>-22</v>
      </c>
      <c r="Q157" s="22">
        <v>-18</v>
      </c>
      <c r="R157" s="22" t="s">
        <v>495</v>
      </c>
      <c r="S157" s="23" t="s">
        <v>496</v>
      </c>
      <c r="V157" s="5"/>
      <c r="W157" s="5"/>
      <c r="X157" s="283" t="s">
        <v>3101</v>
      </c>
      <c r="Y157" s="5"/>
      <c r="Z157" s="342"/>
      <c r="AA157" s="5"/>
      <c r="AB157" s="5"/>
      <c r="AC157" s="5"/>
      <c r="AD157" s="5"/>
      <c r="AE157" s="5"/>
      <c r="AF157" s="5"/>
      <c r="AG157" s="5"/>
      <c r="AS157" s="3"/>
      <c r="BD157" s="97"/>
      <c r="CJ157" s="123"/>
      <c r="CR157" s="138"/>
      <c r="CW157" s="170"/>
      <c r="DC157" s="182"/>
      <c r="DE157" s="1" t="s">
        <v>2971</v>
      </c>
      <c r="DF157" s="404">
        <f>IF(DF147&lt;1,DF147,0)</f>
        <v>0</v>
      </c>
      <c r="DG157" s="1" t="s">
        <v>2972</v>
      </c>
      <c r="DH157" s="406">
        <f>DF147-DJ157</f>
        <v>0</v>
      </c>
      <c r="DI157" s="1" t="s">
        <v>2973</v>
      </c>
      <c r="DJ157" s="406">
        <f>DJ148+DJ149+DJ150+DJ151+DJ152+DJ153+DJ154+DJ155+DJ156</f>
        <v>0</v>
      </c>
      <c r="DK157" s="182"/>
      <c r="DM157" s="2"/>
      <c r="DN157" s="37" t="s">
        <v>3425</v>
      </c>
      <c r="DO157" s="37" t="s">
        <v>3425</v>
      </c>
      <c r="DP157" s="37" t="s">
        <v>911</v>
      </c>
      <c r="DQ157" s="37" t="s">
        <v>3416</v>
      </c>
      <c r="DR157" s="37" t="s">
        <v>912</v>
      </c>
      <c r="DS157" s="22"/>
      <c r="DT157" s="6"/>
      <c r="DZ157" s="48"/>
      <c r="EL157" s="3"/>
      <c r="EM157" s="3"/>
      <c r="FK157" s="135"/>
      <c r="FY157" s="2"/>
      <c r="FZ157" s="37" t="s">
        <v>3421</v>
      </c>
      <c r="GA157" s="37" t="s">
        <v>3421</v>
      </c>
      <c r="GB157" s="37" t="s">
        <v>911</v>
      </c>
      <c r="GC157" s="37" t="s">
        <v>3952</v>
      </c>
      <c r="GD157" s="37" t="s">
        <v>3708</v>
      </c>
      <c r="GF157" s="22"/>
      <c r="GL157" s="48"/>
      <c r="GV157" s="128"/>
      <c r="GW157" s="128"/>
      <c r="HJ157" s="48"/>
      <c r="HK157" s="170"/>
      <c r="HM157" s="191">
        <v>23</v>
      </c>
      <c r="IB157" s="170"/>
      <c r="IG157" s="1"/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  <c r="IT157" s="1"/>
      <c r="IU157" s="1"/>
      <c r="IV157" s="1"/>
      <c r="IW157" s="1"/>
      <c r="IX157" s="1"/>
      <c r="IY157" s="1"/>
      <c r="IZ157" s="1"/>
      <c r="JA157" s="1"/>
      <c r="JB157" s="1"/>
      <c r="JC157" s="1"/>
      <c r="JD157" s="135"/>
    </row>
    <row r="158" spans="9:264">
      <c r="I158" s="30"/>
      <c r="J158" s="156" t="s">
        <v>497</v>
      </c>
      <c r="K158" s="156" t="s">
        <v>497</v>
      </c>
      <c r="L158" s="22">
        <v>10</v>
      </c>
      <c r="M158" s="22">
        <v>30</v>
      </c>
      <c r="N158" s="22">
        <v>17.5</v>
      </c>
      <c r="O158" s="22">
        <v>0</v>
      </c>
      <c r="P158" s="22">
        <v>-38</v>
      </c>
      <c r="Q158" s="22">
        <v>-13</v>
      </c>
      <c r="R158" s="22" t="s">
        <v>498</v>
      </c>
      <c r="S158" s="23" t="s">
        <v>499</v>
      </c>
      <c r="AS158" s="3"/>
      <c r="BD158" s="97"/>
      <c r="CJ158" s="123"/>
      <c r="CR158" s="138"/>
      <c r="CW158" s="170"/>
      <c r="DC158" s="182"/>
      <c r="DD158" s="175"/>
      <c r="DE158" s="175"/>
      <c r="DF158" s="175"/>
      <c r="DG158" s="108" t="s">
        <v>2975</v>
      </c>
      <c r="DH158" s="175"/>
      <c r="DI158" s="175"/>
      <c r="DJ158" s="175"/>
      <c r="DK158" s="182"/>
      <c r="DM158" s="2"/>
      <c r="DN158" s="37" t="s">
        <v>3426</v>
      </c>
      <c r="DO158" s="37" t="s">
        <v>3426</v>
      </c>
      <c r="DP158" s="37" t="s">
        <v>911</v>
      </c>
      <c r="DQ158" s="37" t="s">
        <v>3416</v>
      </c>
      <c r="DR158" s="37" t="s">
        <v>912</v>
      </c>
      <c r="DS158" s="22"/>
      <c r="DT158" s="6"/>
      <c r="DZ158" s="48"/>
      <c r="EL158" s="3"/>
      <c r="EM158" s="3"/>
      <c r="FK158" s="135"/>
      <c r="FY158" s="2"/>
      <c r="FZ158" s="37" t="s">
        <v>3422</v>
      </c>
      <c r="GA158" s="37" t="s">
        <v>3422</v>
      </c>
      <c r="GB158" s="37" t="s">
        <v>911</v>
      </c>
      <c r="GC158" s="37" t="s">
        <v>3952</v>
      </c>
      <c r="GD158" s="37" t="s">
        <v>3708</v>
      </c>
      <c r="GF158" s="22"/>
      <c r="GL158" s="48"/>
      <c r="GV158" s="128"/>
      <c r="GW158" s="128"/>
      <c r="HJ158" s="48"/>
      <c r="HK158" s="170"/>
      <c r="HM158" s="1" t="s">
        <v>3953</v>
      </c>
      <c r="IB158" s="170"/>
      <c r="IG158" s="1"/>
      <c r="IH158" s="1"/>
      <c r="II158" s="1"/>
      <c r="IJ158" s="1"/>
      <c r="IK158" s="1"/>
      <c r="IL158" s="1"/>
      <c r="IM158" s="1"/>
      <c r="IN158" s="1"/>
      <c r="IO158" s="1"/>
      <c r="IP158" s="1"/>
      <c r="IQ158" s="1"/>
      <c r="IR158" s="1"/>
      <c r="IS158" s="1"/>
      <c r="IT158" s="1"/>
      <c r="IU158" s="1"/>
      <c r="IV158" s="1"/>
      <c r="IW158" s="1"/>
      <c r="IX158" s="1"/>
      <c r="IY158" s="1"/>
      <c r="IZ158" s="1"/>
      <c r="JA158" s="1"/>
      <c r="JB158" s="1"/>
      <c r="JC158" s="1"/>
      <c r="JD158" s="135"/>
    </row>
    <row r="159" spans="9:264">
      <c r="I159" s="30"/>
      <c r="J159" s="156" t="s">
        <v>500</v>
      </c>
      <c r="K159" s="156" t="s">
        <v>500</v>
      </c>
      <c r="L159" s="22">
        <v>9</v>
      </c>
      <c r="M159" s="22">
        <v>52</v>
      </c>
      <c r="N159" s="22">
        <v>30.4</v>
      </c>
      <c r="O159" s="22">
        <v>-8</v>
      </c>
      <c r="P159" s="22">
        <v>-6</v>
      </c>
      <c r="Q159" s="22">
        <v>-18</v>
      </c>
      <c r="R159" s="22" t="s">
        <v>501</v>
      </c>
      <c r="S159" s="23" t="s">
        <v>502</v>
      </c>
      <c r="AS159" s="3"/>
      <c r="BD159" s="97"/>
      <c r="CJ159" s="123"/>
      <c r="CR159" s="138"/>
      <c r="CW159" s="170"/>
      <c r="DC159" s="182"/>
      <c r="DD159" s="189" t="s">
        <v>2984</v>
      </c>
      <c r="DG159" s="1" t="s">
        <v>3003</v>
      </c>
      <c r="DH159" s="1">
        <f>IF(DH157&lt;0.000000001,0,DH157)</f>
        <v>0</v>
      </c>
      <c r="DK159" s="182"/>
      <c r="DM159" s="2"/>
      <c r="DN159" s="37" t="s">
        <v>3427</v>
      </c>
      <c r="DO159" s="37" t="s">
        <v>3427</v>
      </c>
      <c r="DP159" s="37" t="s">
        <v>911</v>
      </c>
      <c r="DQ159" s="37" t="s">
        <v>3416</v>
      </c>
      <c r="DR159" s="37" t="s">
        <v>912</v>
      </c>
      <c r="DS159" s="22"/>
      <c r="DT159" s="6"/>
      <c r="DZ159" s="48"/>
      <c r="EL159" s="3"/>
      <c r="EM159" s="3"/>
      <c r="FK159" s="135"/>
      <c r="FY159" s="2"/>
      <c r="FZ159" s="37" t="s">
        <v>3423</v>
      </c>
      <c r="GA159" s="37" t="s">
        <v>3423</v>
      </c>
      <c r="GB159" s="37" t="s">
        <v>911</v>
      </c>
      <c r="GC159" s="37" t="s">
        <v>3952</v>
      </c>
      <c r="GD159" s="37" t="s">
        <v>3708</v>
      </c>
      <c r="GF159" s="22"/>
      <c r="GL159" s="48"/>
      <c r="GV159" s="128"/>
      <c r="GW159" s="128"/>
      <c r="HJ159" s="48"/>
      <c r="HK159" s="170"/>
      <c r="HM159" s="1" t="s">
        <v>3750</v>
      </c>
      <c r="HN159" s="1">
        <f>IF(HN19=HM159,23,0)</f>
        <v>0</v>
      </c>
      <c r="IB159" s="170"/>
      <c r="IG159" s="1"/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  <c r="IT159" s="1"/>
      <c r="IU159" s="1"/>
      <c r="IV159" s="1"/>
      <c r="IW159" s="1"/>
      <c r="IX159" s="1"/>
      <c r="IY159" s="1"/>
      <c r="IZ159" s="1"/>
      <c r="JA159" s="1"/>
      <c r="JB159" s="1"/>
      <c r="JC159" s="1"/>
      <c r="JD159" s="135"/>
    </row>
    <row r="160" spans="9:264">
      <c r="I160" s="36" t="s">
        <v>503</v>
      </c>
      <c r="J160" s="157" t="s">
        <v>504</v>
      </c>
      <c r="K160" s="157" t="s">
        <v>504</v>
      </c>
      <c r="L160" s="24" t="s">
        <v>39</v>
      </c>
      <c r="M160" s="24" t="s">
        <v>503</v>
      </c>
      <c r="N160" s="24" t="s">
        <v>503</v>
      </c>
      <c r="O160" s="24" t="s">
        <v>40</v>
      </c>
      <c r="P160" s="24" t="s">
        <v>505</v>
      </c>
      <c r="Q160" s="24" t="s">
        <v>506</v>
      </c>
      <c r="R160" s="24" t="s">
        <v>507</v>
      </c>
      <c r="S160" s="24" t="s">
        <v>505</v>
      </c>
      <c r="AS160" s="3"/>
      <c r="BD160" s="97"/>
      <c r="CJ160" s="123"/>
      <c r="CR160" s="138"/>
      <c r="CW160" s="170"/>
      <c r="DC160" s="182"/>
      <c r="DD160" s="65">
        <f>CT58</f>
        <v>0</v>
      </c>
      <c r="DE160" s="196" t="s">
        <v>2974</v>
      </c>
      <c r="DF160" s="197"/>
      <c r="DG160" s="1" t="s">
        <v>3004</v>
      </c>
      <c r="DH160" s="406">
        <f>IF(DH159&gt;0.999999999,0,DH159)</f>
        <v>0</v>
      </c>
      <c r="DI160" s="108" t="s">
        <v>2976</v>
      </c>
      <c r="DK160" s="182"/>
      <c r="DM160" s="2"/>
      <c r="DN160" s="37" t="s">
        <v>3428</v>
      </c>
      <c r="DO160" s="37" t="s">
        <v>3428</v>
      </c>
      <c r="DP160" s="37" t="s">
        <v>911</v>
      </c>
      <c r="DQ160" s="37" t="s">
        <v>3416</v>
      </c>
      <c r="DR160" s="37" t="s">
        <v>912</v>
      </c>
      <c r="DS160" s="22"/>
      <c r="DT160" s="6"/>
      <c r="DZ160" s="48"/>
      <c r="EL160" s="3"/>
      <c r="EM160" s="3"/>
      <c r="FK160" s="135"/>
      <c r="FY160" s="2"/>
      <c r="FZ160" s="37" t="s">
        <v>3424</v>
      </c>
      <c r="GA160" s="37" t="s">
        <v>3424</v>
      </c>
      <c r="GB160" s="37" t="s">
        <v>911</v>
      </c>
      <c r="GC160" s="37" t="s">
        <v>3952</v>
      </c>
      <c r="GD160" s="37" t="s">
        <v>3708</v>
      </c>
      <c r="GF160" s="22"/>
      <c r="GL160" s="48"/>
      <c r="GV160" s="128"/>
      <c r="GW160" s="128"/>
      <c r="HJ160" s="48"/>
      <c r="HK160" s="170"/>
      <c r="HM160" s="1" t="s">
        <v>3954</v>
      </c>
      <c r="HN160" s="1">
        <f>IF(HN19=HM160,23,0)</f>
        <v>0</v>
      </c>
      <c r="IB160" s="170"/>
      <c r="IG160" s="1"/>
      <c r="IH160" s="1"/>
      <c r="II160" s="1"/>
      <c r="IJ160" s="1"/>
      <c r="IK160" s="1"/>
      <c r="IL160" s="1"/>
      <c r="IM160" s="1"/>
      <c r="IN160" s="1"/>
      <c r="IO160" s="1"/>
      <c r="IP160" s="1"/>
      <c r="IQ160" s="1"/>
      <c r="IR160" s="1"/>
      <c r="IS160" s="1"/>
      <c r="IT160" s="1"/>
      <c r="IU160" s="1"/>
      <c r="IV160" s="1"/>
      <c r="IW160" s="1"/>
      <c r="IX160" s="1"/>
      <c r="IY160" s="1"/>
      <c r="IZ160" s="1"/>
      <c r="JA160" s="1"/>
      <c r="JB160" s="1"/>
      <c r="JC160" s="1"/>
      <c r="JD160" s="135"/>
    </row>
    <row r="161" spans="9:264">
      <c r="I161" s="30"/>
      <c r="J161" s="156" t="s">
        <v>508</v>
      </c>
      <c r="K161" s="156" t="s">
        <v>508</v>
      </c>
      <c r="L161" s="22">
        <v>14</v>
      </c>
      <c r="M161" s="22">
        <v>50</v>
      </c>
      <c r="N161" s="22">
        <v>52.8</v>
      </c>
      <c r="O161" s="22">
        <v>-16</v>
      </c>
      <c r="P161" s="22">
        <v>-2</v>
      </c>
      <c r="Q161" s="22">
        <v>-30</v>
      </c>
      <c r="R161" s="22" t="s">
        <v>509</v>
      </c>
      <c r="S161" s="22" t="s">
        <v>510</v>
      </c>
      <c r="AS161" s="3"/>
      <c r="BD161" s="97"/>
      <c r="CJ161" s="123"/>
      <c r="CR161" s="138"/>
      <c r="CW161" s="170"/>
      <c r="DC161" s="182"/>
      <c r="DE161" s="6" t="s">
        <v>2977</v>
      </c>
      <c r="DF161" s="6"/>
      <c r="DG161" s="108" t="s">
        <v>2981</v>
      </c>
      <c r="DI161" s="1" t="s">
        <v>3005</v>
      </c>
      <c r="DK161" s="182"/>
      <c r="DM161" s="2"/>
      <c r="DN161" s="37" t="s">
        <v>3429</v>
      </c>
      <c r="DO161" s="37" t="s">
        <v>3429</v>
      </c>
      <c r="DP161" s="37" t="s">
        <v>911</v>
      </c>
      <c r="DQ161" s="37" t="s">
        <v>3416</v>
      </c>
      <c r="DR161" s="37" t="s">
        <v>912</v>
      </c>
      <c r="DS161" s="22"/>
      <c r="DT161" s="6"/>
      <c r="DZ161" s="48"/>
      <c r="EL161" s="3"/>
      <c r="EM161" s="3"/>
      <c r="FK161" s="135"/>
      <c r="FY161" s="2"/>
      <c r="FZ161" s="37" t="s">
        <v>3425</v>
      </c>
      <c r="GA161" s="37" t="s">
        <v>3425</v>
      </c>
      <c r="GB161" s="37" t="s">
        <v>911</v>
      </c>
      <c r="GC161" s="37" t="s">
        <v>3952</v>
      </c>
      <c r="GD161" s="37" t="s">
        <v>3708</v>
      </c>
      <c r="GF161" s="22"/>
      <c r="GL161" s="48"/>
      <c r="GV161" s="128"/>
      <c r="GW161" s="128"/>
      <c r="HJ161" s="48"/>
      <c r="HK161" s="170"/>
      <c r="HM161" s="1" t="s">
        <v>3688</v>
      </c>
      <c r="HN161" s="170">
        <f>HN160+HN159</f>
        <v>0</v>
      </c>
      <c r="IB161" s="170"/>
      <c r="IG161" s="1"/>
      <c r="IH161" s="1"/>
      <c r="II161" s="1"/>
      <c r="IJ161" s="1"/>
      <c r="IK161" s="1"/>
      <c r="IL161" s="1"/>
      <c r="IM161" s="1"/>
      <c r="IN161" s="1"/>
      <c r="IO161" s="1"/>
      <c r="IP161" s="1"/>
      <c r="IQ161" s="1"/>
      <c r="IR161" s="1"/>
      <c r="IS161" s="1"/>
      <c r="IT161" s="1"/>
      <c r="IU161" s="1"/>
      <c r="IV161" s="1"/>
      <c r="IW161" s="1"/>
      <c r="IX161" s="1"/>
      <c r="IY161" s="1"/>
      <c r="IZ161" s="1"/>
      <c r="JA161" s="1"/>
      <c r="JB161" s="1"/>
      <c r="JC161" s="1"/>
      <c r="JD161" s="135"/>
    </row>
    <row r="162" spans="9:264">
      <c r="I162" s="30"/>
      <c r="J162" s="156" t="s">
        <v>511</v>
      </c>
      <c r="K162" s="156" t="s">
        <v>511</v>
      </c>
      <c r="L162" s="22">
        <v>15</v>
      </c>
      <c r="M162" s="22">
        <v>17</v>
      </c>
      <c r="N162" s="22">
        <v>0.4</v>
      </c>
      <c r="O162" s="22">
        <v>-9</v>
      </c>
      <c r="P162" s="22">
        <v>-22</v>
      </c>
      <c r="Q162" s="22">
        <v>-58</v>
      </c>
      <c r="R162" s="22" t="s">
        <v>512</v>
      </c>
      <c r="S162" s="22" t="s">
        <v>513</v>
      </c>
      <c r="AS162" s="3"/>
      <c r="BD162" s="97"/>
      <c r="CJ162" s="123"/>
      <c r="CR162" s="138"/>
      <c r="CW162" s="170"/>
      <c r="DC162" s="182"/>
      <c r="DD162" s="191" t="s">
        <v>2991</v>
      </c>
      <c r="DE162" s="6" t="s">
        <v>2978</v>
      </c>
      <c r="DF162" s="128"/>
      <c r="DG162" s="1" t="s">
        <v>3006</v>
      </c>
      <c r="DH162" s="1">
        <f>DF172-DH160</f>
        <v>0</v>
      </c>
      <c r="DI162" s="1" t="s">
        <v>3007</v>
      </c>
      <c r="DJ162" s="406">
        <f>DH124</f>
        <v>0</v>
      </c>
      <c r="DK162" s="182"/>
      <c r="DM162" s="2"/>
      <c r="DN162" s="37" t="s">
        <v>3430</v>
      </c>
      <c r="DO162" s="37" t="s">
        <v>3430</v>
      </c>
      <c r="DP162" s="37" t="s">
        <v>911</v>
      </c>
      <c r="DQ162" s="37" t="s">
        <v>3416</v>
      </c>
      <c r="DR162" s="37" t="s">
        <v>912</v>
      </c>
      <c r="DS162" s="22"/>
      <c r="DT162" s="6"/>
      <c r="DZ162" s="48"/>
      <c r="EL162" s="3"/>
      <c r="EM162" s="3"/>
      <c r="FK162" s="135"/>
      <c r="FY162" s="2"/>
      <c r="FZ162" s="37" t="s">
        <v>3426</v>
      </c>
      <c r="GA162" s="37" t="s">
        <v>3426</v>
      </c>
      <c r="GB162" s="37" t="s">
        <v>911</v>
      </c>
      <c r="GC162" s="37" t="s">
        <v>3952</v>
      </c>
      <c r="GD162" s="37" t="s">
        <v>3708</v>
      </c>
      <c r="GF162" s="22"/>
      <c r="GL162" s="48"/>
      <c r="GV162" s="128"/>
      <c r="GW162" s="128"/>
      <c r="HJ162" s="48"/>
      <c r="HK162" s="170"/>
      <c r="HM162" s="191">
        <v>24</v>
      </c>
      <c r="IB162" s="170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  <c r="IU162" s="1"/>
      <c r="IV162" s="1"/>
      <c r="IW162" s="1"/>
      <c r="IX162" s="1"/>
      <c r="IY162" s="1"/>
      <c r="IZ162" s="1"/>
      <c r="JA162" s="1"/>
      <c r="JB162" s="1"/>
      <c r="JC162" s="1"/>
      <c r="JD162" s="135"/>
    </row>
    <row r="163" spans="9:264">
      <c r="I163" s="30"/>
      <c r="J163" s="156" t="s">
        <v>514</v>
      </c>
      <c r="K163" s="156" t="s">
        <v>514</v>
      </c>
      <c r="L163" s="22">
        <v>15</v>
      </c>
      <c r="M163" s="22">
        <v>35</v>
      </c>
      <c r="N163" s="22">
        <v>31.6</v>
      </c>
      <c r="O163" s="22">
        <v>-14</v>
      </c>
      <c r="P163" s="22">
        <v>-47</v>
      </c>
      <c r="Q163" s="22">
        <v>-22</v>
      </c>
      <c r="R163" s="22" t="s">
        <v>515</v>
      </c>
      <c r="S163" s="22" t="s">
        <v>516</v>
      </c>
      <c r="AS163" s="3"/>
      <c r="BD163" s="97"/>
      <c r="CJ163" s="123"/>
      <c r="CR163" s="138"/>
      <c r="CW163" s="170"/>
      <c r="DC163" s="182"/>
      <c r="DD163" s="1" t="s">
        <v>2981</v>
      </c>
      <c r="DE163" s="168" t="s">
        <v>2980</v>
      </c>
      <c r="DF163" s="65">
        <f>DJ120</f>
        <v>0</v>
      </c>
      <c r="DG163" s="1" t="s">
        <v>2986</v>
      </c>
      <c r="DH163" s="1">
        <f>IF(DF167=1,DH162,0)</f>
        <v>0</v>
      </c>
      <c r="DK163" s="182"/>
      <c r="DM163" s="2"/>
      <c r="DN163" s="37" t="s">
        <v>3431</v>
      </c>
      <c r="DO163" s="37" t="s">
        <v>3431</v>
      </c>
      <c r="DP163" s="37" t="s">
        <v>911</v>
      </c>
      <c r="DQ163" s="37" t="s">
        <v>3416</v>
      </c>
      <c r="DR163" s="37" t="s">
        <v>912</v>
      </c>
      <c r="DS163" s="22"/>
      <c r="DT163" s="6"/>
      <c r="DZ163" s="48"/>
      <c r="EL163" s="3"/>
      <c r="EM163" s="3"/>
      <c r="FK163" s="135"/>
      <c r="FY163" s="2"/>
      <c r="FZ163" s="37" t="s">
        <v>3427</v>
      </c>
      <c r="GA163" s="37" t="s">
        <v>3427</v>
      </c>
      <c r="GB163" s="37" t="s">
        <v>911</v>
      </c>
      <c r="GC163" s="37" t="s">
        <v>3952</v>
      </c>
      <c r="GD163" s="37" t="s">
        <v>3708</v>
      </c>
      <c r="GF163" s="22"/>
      <c r="GL163" s="48"/>
      <c r="GV163" s="128"/>
      <c r="GW163" s="128"/>
      <c r="HJ163" s="48"/>
      <c r="HK163" s="170"/>
      <c r="HM163" s="1" t="s">
        <v>3955</v>
      </c>
      <c r="IB163" s="170"/>
      <c r="IG163" s="1"/>
      <c r="IH163" s="1"/>
      <c r="II163" s="1"/>
      <c r="IJ163" s="1"/>
      <c r="IK163" s="1"/>
      <c r="IL163" s="1"/>
      <c r="IM163" s="1"/>
      <c r="IN163" s="1"/>
      <c r="IO163" s="1"/>
      <c r="IP163" s="1"/>
      <c r="IQ163" s="1"/>
      <c r="IR163" s="1"/>
      <c r="IS163" s="1"/>
      <c r="IT163" s="1"/>
      <c r="IU163" s="1"/>
      <c r="IV163" s="1"/>
      <c r="IW163" s="1"/>
      <c r="IX163" s="1"/>
      <c r="IY163" s="1"/>
      <c r="IZ163" s="1"/>
      <c r="JA163" s="1"/>
      <c r="JB163" s="1"/>
      <c r="JC163" s="1"/>
      <c r="JD163" s="135"/>
    </row>
    <row r="164" spans="9:264">
      <c r="I164" s="30"/>
      <c r="J164" s="156" t="s">
        <v>517</v>
      </c>
      <c r="K164" s="156" t="s">
        <v>517</v>
      </c>
      <c r="L164" s="22">
        <v>15</v>
      </c>
      <c r="M164" s="22">
        <v>4</v>
      </c>
      <c r="N164" s="22">
        <v>4.2</v>
      </c>
      <c r="O164" s="22">
        <v>-25</v>
      </c>
      <c r="P164" s="22">
        <v>-16</v>
      </c>
      <c r="Q164" s="22">
        <v>-55</v>
      </c>
      <c r="R164" s="22" t="s">
        <v>518</v>
      </c>
      <c r="S164" s="22" t="s">
        <v>519</v>
      </c>
      <c r="AS164" s="3"/>
      <c r="BD164" s="97"/>
      <c r="CJ164" s="123"/>
      <c r="CR164" s="138"/>
      <c r="CW164" s="170"/>
      <c r="DC164" s="182"/>
      <c r="DD164" s="118">
        <f>DH124</f>
        <v>0</v>
      </c>
      <c r="DE164" s="128" t="s">
        <v>2983</v>
      </c>
      <c r="DF164" s="128" t="b">
        <f>ISNUMBER(DF163)</f>
        <v>1</v>
      </c>
      <c r="DG164" s="1" t="s">
        <v>2988</v>
      </c>
      <c r="DH164" s="1">
        <f>-1*DH163</f>
        <v>0</v>
      </c>
      <c r="DI164" s="1" t="s">
        <v>3008</v>
      </c>
      <c r="DK164" s="182"/>
      <c r="DM164" s="2"/>
      <c r="DN164" s="37" t="s">
        <v>3432</v>
      </c>
      <c r="DO164" s="37" t="s">
        <v>3432</v>
      </c>
      <c r="DP164" s="37" t="s">
        <v>911</v>
      </c>
      <c r="DQ164" s="37" t="s">
        <v>3416</v>
      </c>
      <c r="DR164" s="37" t="s">
        <v>912</v>
      </c>
      <c r="DS164" s="22"/>
      <c r="DT164" s="6"/>
      <c r="DZ164" s="48"/>
      <c r="EL164" s="3"/>
      <c r="EM164" s="3"/>
      <c r="FK164" s="135"/>
      <c r="FY164" s="2"/>
      <c r="FZ164" s="37" t="s">
        <v>3428</v>
      </c>
      <c r="GA164" s="37" t="s">
        <v>3428</v>
      </c>
      <c r="GB164" s="37" t="s">
        <v>911</v>
      </c>
      <c r="GC164" s="37" t="s">
        <v>3952</v>
      </c>
      <c r="GD164" s="37" t="s">
        <v>3708</v>
      </c>
      <c r="GF164" s="22"/>
      <c r="GL164" s="48"/>
      <c r="GV164" s="128"/>
      <c r="GW164" s="128"/>
      <c r="HJ164" s="48"/>
      <c r="HK164" s="170"/>
      <c r="HL164" s="175"/>
      <c r="HM164" s="1" t="s">
        <v>3755</v>
      </c>
      <c r="HN164" s="1">
        <f>IF(HN19=HM164,24,0)</f>
        <v>0</v>
      </c>
      <c r="HO164" s="175"/>
      <c r="HP164" s="175"/>
      <c r="HQ164" s="175"/>
      <c r="HR164" s="175"/>
      <c r="HS164" s="175"/>
      <c r="HT164" s="175"/>
      <c r="HW164" s="175"/>
      <c r="HX164" s="175"/>
      <c r="HY164" s="175"/>
      <c r="HZ164" s="175"/>
      <c r="IA164" s="175"/>
      <c r="IB164" s="170"/>
      <c r="IG164" s="1"/>
      <c r="IH164" s="1"/>
      <c r="II164" s="1"/>
      <c r="IJ164" s="1"/>
      <c r="IK164" s="1"/>
      <c r="IL164" s="1"/>
      <c r="IM164" s="1"/>
      <c r="IN164" s="1"/>
      <c r="IO164" s="1"/>
      <c r="IP164" s="1"/>
      <c r="IQ164" s="1"/>
      <c r="IR164" s="1"/>
      <c r="IS164" s="1"/>
      <c r="IT164" s="1"/>
      <c r="IU164" s="1"/>
      <c r="IV164" s="1"/>
      <c r="IW164" s="1"/>
      <c r="IX164" s="1"/>
      <c r="IY164" s="1"/>
      <c r="IZ164" s="1"/>
      <c r="JA164" s="1"/>
      <c r="JB164" s="1"/>
      <c r="JC164" s="1"/>
      <c r="JD164" s="135"/>
    </row>
    <row r="165" spans="9:264">
      <c r="I165" s="36" t="s">
        <v>520</v>
      </c>
      <c r="J165" s="157" t="s">
        <v>521</v>
      </c>
      <c r="K165" s="157" t="s">
        <v>521</v>
      </c>
      <c r="L165" s="24" t="s">
        <v>39</v>
      </c>
      <c r="M165" s="24" t="s">
        <v>520</v>
      </c>
      <c r="N165" s="24" t="s">
        <v>520</v>
      </c>
      <c r="O165" s="24" t="s">
        <v>40</v>
      </c>
      <c r="P165" s="24" t="s">
        <v>522</v>
      </c>
      <c r="Q165" s="24" t="s">
        <v>523</v>
      </c>
      <c r="R165" s="24" t="s">
        <v>524</v>
      </c>
      <c r="S165" s="24" t="s">
        <v>522</v>
      </c>
      <c r="AS165" s="3"/>
      <c r="BD165" s="97"/>
      <c r="CJ165" s="123"/>
      <c r="CR165" s="138"/>
      <c r="CW165" s="170"/>
      <c r="DC165" s="182"/>
      <c r="DD165" s="1" t="s">
        <v>2993</v>
      </c>
      <c r="DE165" s="128" t="s">
        <v>2985</v>
      </c>
      <c r="DF165" s="128">
        <f>DF164*1</f>
        <v>1</v>
      </c>
      <c r="DG165" s="1" t="s">
        <v>2990</v>
      </c>
      <c r="DH165" s="406">
        <f>IF(DF167=1,DH164,DH162)</f>
        <v>0</v>
      </c>
      <c r="DI165" s="1" t="s">
        <v>3009</v>
      </c>
      <c r="DJ165" s="406">
        <f>DH165</f>
        <v>0</v>
      </c>
      <c r="DK165" s="182"/>
      <c r="DM165" s="2"/>
      <c r="DN165" s="37" t="s">
        <v>3433</v>
      </c>
      <c r="DO165" s="37" t="s">
        <v>3433</v>
      </c>
      <c r="DP165" s="37" t="s">
        <v>911</v>
      </c>
      <c r="DQ165" s="37" t="s">
        <v>3416</v>
      </c>
      <c r="DR165" s="37" t="s">
        <v>912</v>
      </c>
      <c r="DS165" s="22"/>
      <c r="DT165" s="6"/>
      <c r="DZ165" s="48"/>
      <c r="EL165" s="3"/>
      <c r="EM165" s="3"/>
      <c r="FK165" s="135"/>
      <c r="FY165" s="2"/>
      <c r="FZ165" s="37" t="s">
        <v>3429</v>
      </c>
      <c r="GA165" s="37" t="s">
        <v>3429</v>
      </c>
      <c r="GB165" s="37" t="s">
        <v>911</v>
      </c>
      <c r="GC165" s="37" t="s">
        <v>3952</v>
      </c>
      <c r="GD165" s="37" t="s">
        <v>3708</v>
      </c>
      <c r="GF165" s="22"/>
      <c r="GL165" s="48"/>
      <c r="GV165" s="128"/>
      <c r="GW165" s="128"/>
      <c r="HJ165" s="48"/>
      <c r="HK165" s="170"/>
      <c r="HL165" s="175"/>
      <c r="HM165" s="1" t="s">
        <v>3956</v>
      </c>
      <c r="HN165" s="1">
        <f>IF(HN19=HM165,24,0)</f>
        <v>0</v>
      </c>
      <c r="HO165" s="175"/>
      <c r="HP165" s="175"/>
      <c r="HQ165" s="175"/>
      <c r="HR165" s="175"/>
      <c r="HS165" s="175"/>
      <c r="HT165" s="175"/>
      <c r="HW165" s="175"/>
      <c r="HX165" s="175"/>
      <c r="HY165" s="175"/>
      <c r="HZ165" s="175"/>
      <c r="IA165" s="175"/>
      <c r="IB165" s="170"/>
      <c r="IG165" s="1"/>
      <c r="IH165" s="1"/>
      <c r="II165" s="1"/>
      <c r="IJ165" s="1"/>
      <c r="IK165" s="1"/>
      <c r="IL165" s="1"/>
      <c r="IM165" s="1"/>
      <c r="IN165" s="1"/>
      <c r="IO165" s="1"/>
      <c r="IP165" s="1"/>
      <c r="IQ165" s="1"/>
      <c r="IR165" s="1"/>
      <c r="IS165" s="1"/>
      <c r="IT165" s="1"/>
      <c r="IU165" s="1"/>
      <c r="IV165" s="1"/>
      <c r="IW165" s="1"/>
      <c r="IX165" s="1"/>
      <c r="IY165" s="1"/>
      <c r="IZ165" s="1"/>
      <c r="JA165" s="1"/>
      <c r="JB165" s="1"/>
      <c r="JC165" s="1"/>
      <c r="JD165" s="135"/>
    </row>
    <row r="166" spans="9:264">
      <c r="I166" s="30"/>
      <c r="J166" s="156" t="s">
        <v>525</v>
      </c>
      <c r="K166" s="156" t="s">
        <v>525</v>
      </c>
      <c r="L166" s="22">
        <v>5</v>
      </c>
      <c r="M166" s="22">
        <v>16</v>
      </c>
      <c r="N166" s="22">
        <v>41.4</v>
      </c>
      <c r="O166" s="22">
        <v>45</v>
      </c>
      <c r="P166" s="22">
        <v>59</v>
      </c>
      <c r="Q166" s="22">
        <v>53</v>
      </c>
      <c r="R166" s="22" t="s">
        <v>526</v>
      </c>
      <c r="S166" s="22" t="s">
        <v>527</v>
      </c>
      <c r="AS166" s="3"/>
      <c r="BD166" s="97"/>
      <c r="CJ166" s="123"/>
      <c r="CR166" s="138"/>
      <c r="CW166" s="170"/>
      <c r="DC166" s="182"/>
      <c r="DD166" s="118">
        <f>DH129</f>
        <v>0</v>
      </c>
      <c r="DE166" s="128" t="s">
        <v>2987</v>
      </c>
      <c r="DF166" s="6">
        <f>IF(DF165=1,DF163,0)</f>
        <v>0</v>
      </c>
      <c r="DH166" s="175"/>
      <c r="DK166" s="182"/>
      <c r="DM166" s="2"/>
      <c r="DN166" s="37" t="s">
        <v>3434</v>
      </c>
      <c r="DO166" s="37" t="s">
        <v>3434</v>
      </c>
      <c r="DP166" s="37" t="s">
        <v>911</v>
      </c>
      <c r="DQ166" s="37" t="s">
        <v>3416</v>
      </c>
      <c r="DR166" s="37" t="s">
        <v>912</v>
      </c>
      <c r="DS166" s="22"/>
      <c r="DT166" s="6"/>
      <c r="DZ166" s="48"/>
      <c r="EL166" s="3"/>
      <c r="EM166" s="3"/>
      <c r="FK166" s="135"/>
      <c r="FY166" s="2"/>
      <c r="FZ166" s="37" t="s">
        <v>3430</v>
      </c>
      <c r="GA166" s="37" t="s">
        <v>3430</v>
      </c>
      <c r="GB166" s="37" t="s">
        <v>911</v>
      </c>
      <c r="GC166" s="37" t="s">
        <v>3952</v>
      </c>
      <c r="GD166" s="37" t="s">
        <v>3708</v>
      </c>
      <c r="GF166" s="22"/>
      <c r="GL166" s="48"/>
      <c r="GV166" s="128"/>
      <c r="GW166" s="128"/>
      <c r="HJ166" s="48"/>
      <c r="HK166" s="170"/>
      <c r="HL166" s="175"/>
      <c r="HM166" s="1" t="s">
        <v>3957</v>
      </c>
      <c r="HN166" s="1">
        <f>IF(HN19=HM166,24,0)</f>
        <v>0</v>
      </c>
      <c r="HO166" s="175"/>
      <c r="HP166" s="175"/>
      <c r="HQ166" s="236"/>
      <c r="HR166" s="175"/>
      <c r="HS166" s="175"/>
      <c r="HT166" s="175"/>
      <c r="HW166" s="175"/>
      <c r="HX166" s="175"/>
      <c r="HY166" s="175"/>
      <c r="HZ166" s="175"/>
      <c r="IA166" s="175"/>
      <c r="IB166" s="170"/>
      <c r="IG166" s="1"/>
      <c r="IH166" s="1"/>
      <c r="II166" s="1"/>
      <c r="IJ166" s="1"/>
      <c r="IK166" s="1"/>
      <c r="IL166" s="1"/>
      <c r="IM166" s="1"/>
      <c r="IN166" s="1"/>
      <c r="IO166" s="1"/>
      <c r="IP166" s="1"/>
      <c r="IQ166" s="1"/>
      <c r="IR166" s="1"/>
      <c r="IS166" s="1"/>
      <c r="IT166" s="1"/>
      <c r="IU166" s="1"/>
      <c r="IV166" s="1"/>
      <c r="IW166" s="1"/>
      <c r="IX166" s="1"/>
      <c r="IY166" s="1"/>
      <c r="IZ166" s="1"/>
      <c r="JA166" s="1"/>
      <c r="JB166" s="1"/>
      <c r="JC166" s="1"/>
      <c r="JD166" s="135"/>
    </row>
    <row r="167" spans="9:264">
      <c r="I167" s="30"/>
      <c r="J167" s="156" t="s">
        <v>528</v>
      </c>
      <c r="K167" s="156" t="s">
        <v>528</v>
      </c>
      <c r="L167" s="22">
        <v>5</v>
      </c>
      <c r="M167" s="22">
        <v>59</v>
      </c>
      <c r="N167" s="22">
        <v>31.7</v>
      </c>
      <c r="O167" s="22">
        <v>44</v>
      </c>
      <c r="P167" s="22">
        <v>56</v>
      </c>
      <c r="Q167" s="22">
        <v>51</v>
      </c>
      <c r="R167" s="22" t="s">
        <v>529</v>
      </c>
      <c r="S167" s="22" t="s">
        <v>530</v>
      </c>
      <c r="AS167" s="3"/>
      <c r="BD167" s="97"/>
      <c r="CJ167" s="123"/>
      <c r="CR167" s="138"/>
      <c r="CW167" s="170"/>
      <c r="DC167" s="182"/>
      <c r="DD167" s="407" t="s">
        <v>2997</v>
      </c>
      <c r="DE167" s="132" t="s">
        <v>2989</v>
      </c>
      <c r="DF167" s="132">
        <f>IF(DF166&lt;0,1,0)</f>
        <v>0</v>
      </c>
      <c r="DG167" s="108" t="s">
        <v>2993</v>
      </c>
      <c r="DI167" s="1" t="s">
        <v>3010</v>
      </c>
      <c r="DK167" s="182"/>
      <c r="DM167" s="2"/>
      <c r="DN167" s="37" t="s">
        <v>911</v>
      </c>
      <c r="DO167" s="37" t="s">
        <v>911</v>
      </c>
      <c r="DP167" s="37" t="s">
        <v>911</v>
      </c>
      <c r="DQ167" s="37" t="s">
        <v>3416</v>
      </c>
      <c r="DR167" s="37" t="s">
        <v>912</v>
      </c>
      <c r="DS167" s="22"/>
      <c r="DT167" s="6"/>
      <c r="DZ167" s="48"/>
      <c r="EL167" s="3"/>
      <c r="EM167" s="3"/>
      <c r="FK167" s="135"/>
      <c r="FY167" s="2"/>
      <c r="FZ167" s="37" t="s">
        <v>3431</v>
      </c>
      <c r="GA167" s="37" t="s">
        <v>3431</v>
      </c>
      <c r="GB167" s="37" t="s">
        <v>911</v>
      </c>
      <c r="GC167" s="37" t="s">
        <v>3952</v>
      </c>
      <c r="GD167" s="37" t="s">
        <v>3708</v>
      </c>
      <c r="GF167" s="22"/>
      <c r="GL167" s="48"/>
      <c r="GV167" s="128"/>
      <c r="GW167" s="128"/>
      <c r="HJ167" s="48"/>
      <c r="HK167" s="170"/>
      <c r="HL167" s="175"/>
      <c r="HM167" s="1" t="s">
        <v>3688</v>
      </c>
      <c r="HN167" s="170">
        <f>HN164+HN165+HN166</f>
        <v>0</v>
      </c>
      <c r="HO167" s="175"/>
      <c r="HP167" s="175"/>
      <c r="HQ167" s="175"/>
      <c r="HR167" s="175"/>
      <c r="HS167" s="175"/>
      <c r="HT167" s="175"/>
      <c r="HW167" s="175"/>
      <c r="HX167" s="175"/>
      <c r="HY167" s="175"/>
      <c r="HZ167" s="175"/>
      <c r="IA167" s="175"/>
      <c r="IB167" s="170"/>
      <c r="IG167" s="1"/>
      <c r="IH167" s="1"/>
      <c r="II167" s="1"/>
      <c r="IJ167" s="1"/>
      <c r="IK167" s="1"/>
      <c r="IL167" s="1"/>
      <c r="IM167" s="1"/>
      <c r="IN167" s="1"/>
      <c r="IO167" s="1"/>
      <c r="IP167" s="1"/>
      <c r="IQ167" s="1"/>
      <c r="IR167" s="1"/>
      <c r="IS167" s="1"/>
      <c r="IT167" s="1"/>
      <c r="IU167" s="1"/>
      <c r="IV167" s="1"/>
      <c r="IW167" s="1"/>
      <c r="IX167" s="1"/>
      <c r="IY167" s="1"/>
      <c r="IZ167" s="1"/>
      <c r="JA167" s="1"/>
      <c r="JB167" s="1"/>
      <c r="JC167" s="1"/>
      <c r="JD167" s="135"/>
    </row>
    <row r="168" spans="9:264">
      <c r="I168" s="30"/>
      <c r="J168" s="156" t="s">
        <v>531</v>
      </c>
      <c r="K168" s="156" t="s">
        <v>531</v>
      </c>
      <c r="L168" s="22">
        <v>5</v>
      </c>
      <c r="M168" s="22">
        <v>59</v>
      </c>
      <c r="N168" s="22">
        <v>43.3</v>
      </c>
      <c r="O168" s="22">
        <v>37</v>
      </c>
      <c r="P168" s="22">
        <v>12</v>
      </c>
      <c r="Q168" s="22">
        <v>45</v>
      </c>
      <c r="R168" s="22" t="s">
        <v>532</v>
      </c>
      <c r="S168" s="22" t="s">
        <v>533</v>
      </c>
      <c r="AS168" s="3"/>
      <c r="BD168" s="97"/>
      <c r="CJ168" s="123"/>
      <c r="CR168" s="138"/>
      <c r="CW168" s="170"/>
      <c r="DC168" s="182"/>
      <c r="DD168" s="408">
        <f>DJ162</f>
        <v>0</v>
      </c>
      <c r="DE168" s="128" t="s">
        <v>2992</v>
      </c>
      <c r="DF168" s="128">
        <f>IF(DF167=1,DF166,0)</f>
        <v>0</v>
      </c>
      <c r="DG168" s="1" t="s">
        <v>2994</v>
      </c>
      <c r="DH168" s="1">
        <f>IF(DF167=1,DH160,0)</f>
        <v>0</v>
      </c>
      <c r="DI168" s="1" t="s">
        <v>3011</v>
      </c>
      <c r="DJ168" s="406">
        <f>60*DH170</f>
        <v>0</v>
      </c>
      <c r="DK168" s="182"/>
      <c r="DM168" s="2"/>
      <c r="DN168" s="37" t="s">
        <v>3435</v>
      </c>
      <c r="DO168" s="37" t="s">
        <v>3435</v>
      </c>
      <c r="DP168" s="37" t="s">
        <v>173</v>
      </c>
      <c r="DQ168" s="37" t="s">
        <v>3436</v>
      </c>
      <c r="DR168" s="37" t="s">
        <v>174</v>
      </c>
      <c r="DS168" s="22"/>
      <c r="DT168" s="6"/>
      <c r="DZ168" s="48"/>
      <c r="EL168" s="3"/>
      <c r="EM168" s="3"/>
      <c r="FK168" s="135"/>
      <c r="FY168" s="2"/>
      <c r="FZ168" s="37" t="s">
        <v>3432</v>
      </c>
      <c r="GA168" s="37" t="s">
        <v>3432</v>
      </c>
      <c r="GB168" s="37" t="s">
        <v>911</v>
      </c>
      <c r="GC168" s="37" t="s">
        <v>3952</v>
      </c>
      <c r="GD168" s="37" t="s">
        <v>3708</v>
      </c>
      <c r="GF168" s="22"/>
      <c r="GL168" s="48"/>
      <c r="GV168" s="128"/>
      <c r="GW168" s="128"/>
      <c r="HJ168" s="48"/>
      <c r="HK168" s="170"/>
      <c r="HL168" s="175"/>
      <c r="HN168" s="175"/>
      <c r="HO168" s="175"/>
      <c r="HP168" s="175"/>
      <c r="HQ168" s="175"/>
      <c r="HR168" s="175"/>
      <c r="HS168" s="175"/>
      <c r="HT168" s="175"/>
      <c r="HW168" s="175"/>
      <c r="HX168" s="175"/>
      <c r="HY168" s="175"/>
      <c r="HZ168" s="175"/>
      <c r="IA168" s="175"/>
      <c r="IB168" s="170"/>
      <c r="IG168" s="1"/>
      <c r="IH168" s="1"/>
      <c r="II168" s="1"/>
      <c r="IJ168" s="1"/>
      <c r="IK168" s="1"/>
      <c r="IL168" s="1"/>
      <c r="IM168" s="1"/>
      <c r="IN168" s="1"/>
      <c r="IO168" s="1"/>
      <c r="IP168" s="1"/>
      <c r="IQ168" s="1"/>
      <c r="IR168" s="1"/>
      <c r="IS168" s="1"/>
      <c r="IT168" s="1"/>
      <c r="IU168" s="1"/>
      <c r="IV168" s="1"/>
      <c r="IW168" s="1"/>
      <c r="IX168" s="1"/>
      <c r="IY168" s="1"/>
      <c r="IZ168" s="1"/>
      <c r="JA168" s="1"/>
      <c r="JB168" s="1"/>
      <c r="JC168" s="1"/>
      <c r="JD168" s="135"/>
    </row>
    <row r="169" spans="9:264">
      <c r="I169" s="30"/>
      <c r="J169" s="156" t="s">
        <v>534</v>
      </c>
      <c r="K169" s="156" t="s">
        <v>534</v>
      </c>
      <c r="L169" s="22">
        <v>4</v>
      </c>
      <c r="M169" s="22">
        <v>56</v>
      </c>
      <c r="N169" s="22">
        <v>59.6</v>
      </c>
      <c r="O169" s="22">
        <v>33</v>
      </c>
      <c r="P169" s="22">
        <v>9</v>
      </c>
      <c r="Q169" s="22">
        <v>58</v>
      </c>
      <c r="R169" s="22" t="s">
        <v>535</v>
      </c>
      <c r="S169" s="22" t="s">
        <v>536</v>
      </c>
      <c r="AI169" s="5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BD169" s="97"/>
      <c r="CJ169" s="123"/>
      <c r="CR169" s="138"/>
      <c r="CW169" s="170"/>
      <c r="DC169" s="182"/>
      <c r="DD169" s="409" t="s">
        <v>11</v>
      </c>
      <c r="DE169" s="128" t="s">
        <v>3012</v>
      </c>
      <c r="DF169" s="128">
        <f>DF168*-1</f>
        <v>0</v>
      </c>
      <c r="DG169" s="1" t="s">
        <v>2988</v>
      </c>
      <c r="DH169" s="1">
        <f>-1*DH168</f>
        <v>0</v>
      </c>
      <c r="DK169" s="182"/>
      <c r="DM169" s="2"/>
      <c r="DN169" s="37" t="s">
        <v>3437</v>
      </c>
      <c r="DO169" s="37" t="s">
        <v>3437</v>
      </c>
      <c r="DP169" s="37" t="s">
        <v>173</v>
      </c>
      <c r="DQ169" s="37" t="s">
        <v>3436</v>
      </c>
      <c r="DR169" s="37" t="s">
        <v>174</v>
      </c>
      <c r="DS169" s="22"/>
      <c r="DT169" s="6"/>
      <c r="DZ169" s="48"/>
      <c r="EL169" s="3"/>
      <c r="EM169" s="3"/>
      <c r="FK169" s="135"/>
      <c r="FY169" s="2"/>
      <c r="FZ169" s="37" t="s">
        <v>3433</v>
      </c>
      <c r="GA169" s="37" t="s">
        <v>3433</v>
      </c>
      <c r="GB169" s="37" t="s">
        <v>911</v>
      </c>
      <c r="GC169" s="37" t="s">
        <v>3952</v>
      </c>
      <c r="GD169" s="37" t="s">
        <v>3708</v>
      </c>
      <c r="GF169" s="22"/>
      <c r="GL169" s="48"/>
      <c r="GV169" s="128"/>
      <c r="GW169" s="128"/>
      <c r="HJ169" s="48"/>
      <c r="HK169" s="170"/>
      <c r="HL169" s="175"/>
      <c r="HM169" s="423" t="s">
        <v>3958</v>
      </c>
      <c r="HN169" s="119">
        <f>HN167+HN161+HN156+HN149+HN143+HN135+HN130+HN124+HN119+HN114+HN107+HN102+HN95+HN88+HN82+HN75+HN69+HN61+HN55+HN49+HN43+HN37+HN31+HN25</f>
        <v>0</v>
      </c>
      <c r="HO169" s="175"/>
      <c r="HP169" s="175"/>
      <c r="HQ169" s="175"/>
      <c r="HR169" s="175"/>
      <c r="HS169" s="175"/>
      <c r="HT169" s="175"/>
      <c r="HW169" s="175"/>
      <c r="HX169" s="175"/>
      <c r="HY169" s="175"/>
      <c r="HZ169" s="175"/>
      <c r="IA169" s="175"/>
      <c r="IB169" s="170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  <c r="IU169" s="1"/>
      <c r="IV169" s="1"/>
      <c r="IW169" s="1"/>
      <c r="IX169" s="1"/>
      <c r="IY169" s="1"/>
      <c r="IZ169" s="1"/>
      <c r="JA169" s="1"/>
      <c r="JB169" s="1"/>
      <c r="JC169" s="1"/>
      <c r="JD169" s="135"/>
    </row>
    <row r="170" spans="9:264">
      <c r="I170" s="24" t="s">
        <v>537</v>
      </c>
      <c r="J170" s="157" t="s">
        <v>538</v>
      </c>
      <c r="K170" s="157" t="s">
        <v>538</v>
      </c>
      <c r="L170" s="24" t="s">
        <v>39</v>
      </c>
      <c r="M170" s="24" t="s">
        <v>537</v>
      </c>
      <c r="N170" s="24" t="s">
        <v>537</v>
      </c>
      <c r="O170" s="24" t="s">
        <v>40</v>
      </c>
      <c r="P170" s="24" t="s">
        <v>539</v>
      </c>
      <c r="Q170" s="24" t="s">
        <v>540</v>
      </c>
      <c r="R170" s="24" t="s">
        <v>541</v>
      </c>
      <c r="S170" s="24" t="s">
        <v>539</v>
      </c>
      <c r="AS170" s="3"/>
      <c r="BD170" s="97"/>
      <c r="CJ170" s="123"/>
      <c r="CR170" s="138"/>
      <c r="CW170" s="170"/>
      <c r="DC170" s="182"/>
      <c r="DD170" s="410">
        <f>DJ165</f>
        <v>0</v>
      </c>
      <c r="DE170" s="128" t="s">
        <v>2995</v>
      </c>
      <c r="DF170" s="6">
        <f>IF(DF169=0,DF166,DF169)</f>
        <v>0</v>
      </c>
      <c r="DG170" s="1" t="s">
        <v>2996</v>
      </c>
      <c r="DH170" s="406">
        <f>IF(DF167=1,DH169,DH160)</f>
        <v>0</v>
      </c>
      <c r="DK170" s="182"/>
      <c r="DM170" s="2"/>
      <c r="DN170" s="37" t="s">
        <v>3438</v>
      </c>
      <c r="DO170" s="37" t="s">
        <v>3438</v>
      </c>
      <c r="DP170" s="37" t="s">
        <v>173</v>
      </c>
      <c r="DQ170" s="37" t="s">
        <v>3436</v>
      </c>
      <c r="DR170" s="37" t="s">
        <v>174</v>
      </c>
      <c r="DS170" s="22"/>
      <c r="DT170" s="6"/>
      <c r="DZ170" s="48"/>
      <c r="EL170" s="3"/>
      <c r="EM170" s="3"/>
      <c r="FK170" s="135"/>
      <c r="FY170" s="2"/>
      <c r="FZ170" s="37" t="s">
        <v>3434</v>
      </c>
      <c r="GA170" s="37" t="s">
        <v>3434</v>
      </c>
      <c r="GB170" s="37" t="s">
        <v>911</v>
      </c>
      <c r="GC170" s="37" t="s">
        <v>3952</v>
      </c>
      <c r="GD170" s="37" t="s">
        <v>3708</v>
      </c>
      <c r="GF170" s="22"/>
      <c r="GL170" s="48"/>
      <c r="GV170" s="128"/>
      <c r="GW170" s="128"/>
      <c r="HJ170" s="48"/>
      <c r="HK170" s="170"/>
      <c r="HL170" s="175"/>
      <c r="HO170" s="175"/>
      <c r="HP170" s="175"/>
      <c r="HQ170" s="175"/>
      <c r="HR170" s="175"/>
      <c r="HS170" s="175"/>
      <c r="HT170" s="175"/>
      <c r="HW170" s="175"/>
      <c r="HX170" s="175"/>
      <c r="HY170" s="175"/>
      <c r="HZ170" s="175"/>
      <c r="IA170" s="175"/>
      <c r="IB170" s="170"/>
      <c r="IG170" s="1"/>
      <c r="IH170" s="1"/>
      <c r="II170" s="1"/>
      <c r="IJ170" s="1"/>
      <c r="IK170" s="1"/>
      <c r="IL170" s="1"/>
      <c r="IM170" s="1"/>
      <c r="IN170" s="1"/>
      <c r="IO170" s="1"/>
      <c r="IP170" s="1"/>
      <c r="IQ170" s="1"/>
      <c r="IR170" s="1"/>
      <c r="IS170" s="1"/>
      <c r="IT170" s="1"/>
      <c r="IU170" s="1"/>
      <c r="IV170" s="1"/>
      <c r="IW170" s="1"/>
      <c r="IX170" s="1"/>
      <c r="IY170" s="1"/>
      <c r="IZ170" s="1"/>
      <c r="JA170" s="1"/>
      <c r="JB170" s="1"/>
      <c r="JC170" s="1"/>
      <c r="JD170" s="135"/>
    </row>
    <row r="171" spans="9:264">
      <c r="I171" s="22"/>
      <c r="J171" s="156" t="s">
        <v>542</v>
      </c>
      <c r="K171" s="156" t="s">
        <v>542</v>
      </c>
      <c r="L171" s="22">
        <v>18</v>
      </c>
      <c r="M171" s="22">
        <v>1</v>
      </c>
      <c r="N171" s="22">
        <v>30.4</v>
      </c>
      <c r="O171" s="22">
        <v>21</v>
      </c>
      <c r="P171" s="22">
        <v>35</v>
      </c>
      <c r="Q171" s="22">
        <v>45</v>
      </c>
      <c r="R171" s="22" t="s">
        <v>543</v>
      </c>
      <c r="S171" s="23" t="s">
        <v>544</v>
      </c>
      <c r="AS171" s="3"/>
      <c r="BD171" s="97"/>
      <c r="CJ171" s="123"/>
      <c r="CR171" s="138"/>
      <c r="CW171" s="170"/>
      <c r="DC171" s="182"/>
      <c r="DD171" s="409" t="s">
        <v>2858</v>
      </c>
      <c r="DE171" s="145" t="s">
        <v>3013</v>
      </c>
      <c r="DF171" s="6">
        <f>DF170</f>
        <v>0</v>
      </c>
      <c r="DH171" s="175"/>
      <c r="DK171" s="182"/>
      <c r="DM171" s="2"/>
      <c r="DN171" s="37" t="s">
        <v>173</v>
      </c>
      <c r="DO171" s="37" t="s">
        <v>173</v>
      </c>
      <c r="DP171" s="37" t="s">
        <v>173</v>
      </c>
      <c r="DQ171" s="37" t="s">
        <v>3436</v>
      </c>
      <c r="DR171" s="37" t="s">
        <v>174</v>
      </c>
      <c r="DS171" s="22"/>
      <c r="DT171" s="6"/>
      <c r="DZ171" s="48"/>
      <c r="EL171" s="3"/>
      <c r="EM171" s="3"/>
      <c r="FK171" s="135"/>
      <c r="FY171" s="2"/>
      <c r="FZ171" s="37" t="s">
        <v>911</v>
      </c>
      <c r="GA171" s="37" t="s">
        <v>911</v>
      </c>
      <c r="GB171" s="37" t="s">
        <v>911</v>
      </c>
      <c r="GC171" s="37" t="s">
        <v>3952</v>
      </c>
      <c r="GD171" s="37" t="s">
        <v>3708</v>
      </c>
      <c r="GF171" s="22"/>
      <c r="GL171" s="48"/>
      <c r="GV171" s="128"/>
      <c r="GW171" s="128"/>
      <c r="HJ171" s="48"/>
      <c r="HK171" s="170"/>
      <c r="HL171" s="175"/>
      <c r="HM171" s="562">
        <v>25</v>
      </c>
      <c r="HN171" s="175"/>
      <c r="HO171" s="175"/>
      <c r="HP171" s="175"/>
      <c r="HQ171" s="175"/>
      <c r="HR171" s="175"/>
      <c r="HS171" s="175"/>
      <c r="HT171" s="175"/>
      <c r="HW171" s="175"/>
      <c r="HX171" s="175"/>
      <c r="HY171" s="175"/>
      <c r="HZ171" s="175"/>
      <c r="IA171" s="175"/>
      <c r="IB171" s="170"/>
      <c r="IG171" s="1"/>
      <c r="IH171" s="1"/>
      <c r="II171" s="1"/>
      <c r="IJ171" s="1"/>
      <c r="IK171" s="1"/>
      <c r="IL171" s="1"/>
      <c r="IM171" s="1"/>
      <c r="IN171" s="1"/>
      <c r="IO171" s="1"/>
      <c r="IP171" s="1"/>
      <c r="IQ171" s="1"/>
      <c r="IR171" s="1"/>
      <c r="IS171" s="1"/>
      <c r="IT171" s="1"/>
      <c r="IU171" s="1"/>
      <c r="IV171" s="1"/>
      <c r="IW171" s="1"/>
      <c r="IX171" s="1"/>
      <c r="IY171" s="1"/>
      <c r="IZ171" s="1"/>
      <c r="JA171" s="1"/>
      <c r="JB171" s="1"/>
      <c r="JC171" s="1"/>
      <c r="JD171" s="135"/>
    </row>
    <row r="172" spans="9:264">
      <c r="I172" s="22"/>
      <c r="J172" s="156" t="s">
        <v>545</v>
      </c>
      <c r="K172" s="156" t="s">
        <v>545</v>
      </c>
      <c r="L172" s="22">
        <v>17</v>
      </c>
      <c r="M172" s="22">
        <v>14</v>
      </c>
      <c r="N172" s="22">
        <v>38.9</v>
      </c>
      <c r="O172" s="22">
        <v>14</v>
      </c>
      <c r="P172" s="22">
        <v>23</v>
      </c>
      <c r="Q172" s="22">
        <v>25</v>
      </c>
      <c r="R172" s="22" t="s">
        <v>546</v>
      </c>
      <c r="S172" s="23" t="s">
        <v>547</v>
      </c>
      <c r="AS172" s="3"/>
      <c r="BD172" s="97"/>
      <c r="CJ172" s="123"/>
      <c r="CR172" s="138"/>
      <c r="CW172" s="170"/>
      <c r="DC172" s="182"/>
      <c r="DD172" s="410">
        <f>DJ168</f>
        <v>0</v>
      </c>
      <c r="DE172" s="1" t="s">
        <v>3014</v>
      </c>
      <c r="DF172" s="190">
        <f>IF(DF171&gt;100,0,DF171)</f>
        <v>0</v>
      </c>
      <c r="DK172" s="182"/>
      <c r="DM172" s="2"/>
      <c r="DN172" s="37" t="s">
        <v>3439</v>
      </c>
      <c r="DO172" s="37" t="s">
        <v>3439</v>
      </c>
      <c r="DP172" s="37" t="s">
        <v>939</v>
      </c>
      <c r="DQ172" s="37" t="s">
        <v>3440</v>
      </c>
      <c r="DR172" s="37" t="s">
        <v>940</v>
      </c>
      <c r="DS172" s="22"/>
      <c r="DT172" s="6"/>
      <c r="DZ172" s="48"/>
      <c r="EL172" s="3"/>
      <c r="EM172" s="3"/>
      <c r="FK172" s="135"/>
      <c r="FY172" s="2"/>
      <c r="FZ172" s="37" t="s">
        <v>3435</v>
      </c>
      <c r="GA172" s="37" t="s">
        <v>3435</v>
      </c>
      <c r="GB172" s="37" t="s">
        <v>173</v>
      </c>
      <c r="GC172" s="37" t="s">
        <v>3962</v>
      </c>
      <c r="GD172" s="37" t="s">
        <v>177</v>
      </c>
      <c r="GF172" s="22"/>
      <c r="GL172" s="48"/>
      <c r="GV172" s="128"/>
      <c r="GW172" s="128"/>
      <c r="HJ172" s="48"/>
      <c r="HK172" s="170"/>
      <c r="HL172" s="175"/>
      <c r="HM172" s="1" t="s">
        <v>3959</v>
      </c>
      <c r="HN172" s="175"/>
      <c r="HO172" s="175"/>
      <c r="HP172" s="175"/>
      <c r="HQ172" s="175"/>
      <c r="HR172" s="175"/>
      <c r="HS172" s="175"/>
      <c r="HT172" s="175"/>
      <c r="HU172" s="175"/>
      <c r="HV172" s="175"/>
      <c r="HW172" s="175"/>
      <c r="HX172" s="175"/>
      <c r="HY172" s="175"/>
      <c r="HZ172" s="175"/>
      <c r="IA172" s="175"/>
      <c r="IB172" s="170"/>
      <c r="IG172" s="1"/>
      <c r="IH172" s="1"/>
      <c r="II172" s="1"/>
      <c r="IJ172" s="1"/>
      <c r="IK172" s="1"/>
      <c r="IL172" s="1"/>
      <c r="IM172" s="1"/>
      <c r="IN172" s="1"/>
      <c r="IO172" s="1"/>
      <c r="IP172" s="1"/>
      <c r="IQ172" s="1"/>
      <c r="IR172" s="1"/>
      <c r="IS172" s="1"/>
      <c r="IT172" s="1"/>
      <c r="IU172" s="1"/>
      <c r="IV172" s="1"/>
      <c r="IW172" s="1"/>
      <c r="IX172" s="1"/>
      <c r="IY172" s="1"/>
      <c r="IZ172" s="1"/>
      <c r="JA172" s="1"/>
      <c r="JB172" s="1"/>
      <c r="JC172" s="1"/>
      <c r="JD172" s="135"/>
    </row>
    <row r="173" spans="9:264">
      <c r="I173" s="22"/>
      <c r="J173" s="156" t="s">
        <v>548</v>
      </c>
      <c r="K173" s="156" t="s">
        <v>548</v>
      </c>
      <c r="L173" s="22">
        <v>16</v>
      </c>
      <c r="M173" s="22">
        <v>30</v>
      </c>
      <c r="N173" s="22">
        <v>13.2</v>
      </c>
      <c r="O173" s="22">
        <v>21</v>
      </c>
      <c r="P173" s="22">
        <v>29</v>
      </c>
      <c r="Q173" s="22">
        <v>23</v>
      </c>
      <c r="R173" s="22" t="s">
        <v>549</v>
      </c>
      <c r="S173" s="23" t="s">
        <v>550</v>
      </c>
      <c r="AS173" s="3"/>
      <c r="BD173" s="97"/>
      <c r="CJ173" s="123"/>
      <c r="CR173" s="138"/>
      <c r="CW173" s="170"/>
      <c r="DC173" s="182"/>
      <c r="DD173" s="182"/>
      <c r="DE173" s="182"/>
      <c r="DF173" s="182"/>
      <c r="DG173" s="182"/>
      <c r="DH173" s="182"/>
      <c r="DI173" s="182"/>
      <c r="DJ173" s="182"/>
      <c r="DK173" s="182"/>
      <c r="DM173" s="2"/>
      <c r="DN173" s="37" t="s">
        <v>3441</v>
      </c>
      <c r="DO173" s="37" t="s">
        <v>3441</v>
      </c>
      <c r="DP173" s="37" t="s">
        <v>939</v>
      </c>
      <c r="DQ173" s="37" t="s">
        <v>3440</v>
      </c>
      <c r="DR173" s="37" t="s">
        <v>940</v>
      </c>
      <c r="DS173" s="22"/>
      <c r="DT173" s="6"/>
      <c r="DZ173" s="48"/>
      <c r="EL173" s="3"/>
      <c r="EM173" s="3"/>
      <c r="FK173" s="135"/>
      <c r="FY173" s="2"/>
      <c r="FZ173" s="37" t="s">
        <v>3437</v>
      </c>
      <c r="GA173" s="37" t="s">
        <v>3437</v>
      </c>
      <c r="GB173" s="37" t="s">
        <v>173</v>
      </c>
      <c r="GC173" s="37" t="s">
        <v>3964</v>
      </c>
      <c r="GD173" s="37" t="s">
        <v>177</v>
      </c>
      <c r="GF173" s="22"/>
      <c r="GL173" s="48"/>
      <c r="GV173" s="128"/>
      <c r="GW173" s="128"/>
      <c r="HJ173" s="48"/>
      <c r="HK173" s="170"/>
      <c r="HL173" s="175"/>
      <c r="HM173" s="563" t="s">
        <v>3960</v>
      </c>
      <c r="HN173" s="564">
        <f>IF(HN15="M",25,0)</f>
        <v>0</v>
      </c>
      <c r="HO173" s="175"/>
      <c r="HP173" s="175"/>
      <c r="HQ173" s="175"/>
      <c r="HR173" s="175"/>
      <c r="HS173" s="175"/>
      <c r="HT173" s="175"/>
      <c r="HU173" s="175"/>
      <c r="HV173" s="175"/>
      <c r="HW173" s="175"/>
      <c r="HX173" s="175"/>
      <c r="HY173" s="175"/>
      <c r="HZ173" s="175"/>
      <c r="IA173" s="175"/>
      <c r="IB173" s="170"/>
      <c r="IG173" s="1"/>
      <c r="IH173" s="1"/>
      <c r="II173" s="1"/>
      <c r="IJ173" s="1"/>
      <c r="IK173" s="1"/>
      <c r="IL173" s="1"/>
      <c r="IM173" s="1"/>
      <c r="IN173" s="1"/>
      <c r="IO173" s="1"/>
      <c r="IP173" s="1"/>
      <c r="IQ173" s="1"/>
      <c r="IR173" s="1"/>
      <c r="IS173" s="1"/>
      <c r="IT173" s="1"/>
      <c r="IU173" s="1"/>
      <c r="IV173" s="1"/>
      <c r="IW173" s="1"/>
      <c r="IX173" s="1"/>
      <c r="IY173" s="1"/>
      <c r="IZ173" s="1"/>
      <c r="JA173" s="1"/>
      <c r="JB173" s="1"/>
      <c r="JC173" s="1"/>
      <c r="JD173" s="135"/>
    </row>
    <row r="174" spans="9:264">
      <c r="I174" s="22"/>
      <c r="J174" s="156" t="s">
        <v>551</v>
      </c>
      <c r="K174" s="156" t="s">
        <v>551</v>
      </c>
      <c r="L174" s="22">
        <v>16</v>
      </c>
      <c r="M174" s="22">
        <v>21</v>
      </c>
      <c r="N174" s="22">
        <v>55.2</v>
      </c>
      <c r="O174" s="22">
        <v>19</v>
      </c>
      <c r="P174" s="22">
        <v>9</v>
      </c>
      <c r="Q174" s="22">
        <v>11</v>
      </c>
      <c r="R174" s="22" t="s">
        <v>552</v>
      </c>
      <c r="S174" s="23" t="s">
        <v>553</v>
      </c>
      <c r="AS174" s="3"/>
      <c r="BD174" s="97"/>
      <c r="CJ174" s="123"/>
      <c r="CR174" s="138"/>
      <c r="CW174" s="170"/>
      <c r="DC174" s="182"/>
      <c r="DD174" s="182"/>
      <c r="DE174" s="182"/>
      <c r="DF174" s="182"/>
      <c r="DG174" s="182"/>
      <c r="DH174" s="182"/>
      <c r="DI174" s="182"/>
      <c r="DJ174" s="182"/>
      <c r="DK174" s="182"/>
      <c r="DM174" s="2"/>
      <c r="DN174" s="37" t="s">
        <v>3442</v>
      </c>
      <c r="DO174" s="37" t="s">
        <v>3442</v>
      </c>
      <c r="DP174" s="37" t="s">
        <v>939</v>
      </c>
      <c r="DQ174" s="37" t="s">
        <v>3440</v>
      </c>
      <c r="DR174" s="37" t="s">
        <v>940</v>
      </c>
      <c r="DS174" s="22"/>
      <c r="DT174" s="6"/>
      <c r="DZ174" s="48"/>
      <c r="EL174" s="3"/>
      <c r="EM174" s="3"/>
      <c r="FK174" s="135"/>
      <c r="FY174" s="2"/>
      <c r="FZ174" s="37" t="s">
        <v>3438</v>
      </c>
      <c r="GA174" s="37" t="s">
        <v>3438</v>
      </c>
      <c r="GB174" s="37" t="s">
        <v>173</v>
      </c>
      <c r="GC174" s="37" t="s">
        <v>3962</v>
      </c>
      <c r="GD174" s="37" t="s">
        <v>177</v>
      </c>
      <c r="GF174" s="22"/>
      <c r="GL174" s="48"/>
      <c r="GV174" s="128"/>
      <c r="GW174" s="128"/>
      <c r="HJ174" s="48"/>
      <c r="HK174" s="170"/>
      <c r="HL174" s="175"/>
      <c r="HM174" s="562">
        <v>26</v>
      </c>
      <c r="HN174" s="175"/>
      <c r="HO174" s="175"/>
      <c r="HP174" s="175"/>
      <c r="HQ174" s="175"/>
      <c r="HR174" s="175"/>
      <c r="HS174" s="175"/>
      <c r="HT174" s="175"/>
      <c r="HU174" s="175"/>
      <c r="HV174" s="175"/>
      <c r="HW174" s="175"/>
      <c r="HX174" s="175"/>
      <c r="HY174" s="175"/>
      <c r="HZ174" s="175"/>
      <c r="IA174" s="175"/>
      <c r="IB174" s="170"/>
      <c r="IG174" s="1"/>
      <c r="IH174" s="1"/>
      <c r="II174" s="1"/>
      <c r="IJ174" s="1"/>
      <c r="IK174" s="1"/>
      <c r="IL174" s="1"/>
      <c r="IM174" s="1"/>
      <c r="IN174" s="1"/>
      <c r="IO174" s="1"/>
      <c r="IP174" s="1"/>
      <c r="IQ174" s="1"/>
      <c r="IR174" s="1"/>
      <c r="IS174" s="1"/>
      <c r="IT174" s="1"/>
      <c r="IU174" s="1"/>
      <c r="IV174" s="1"/>
      <c r="IW174" s="1"/>
      <c r="IX174" s="1"/>
      <c r="IY174" s="1"/>
      <c r="IZ174" s="1"/>
      <c r="JA174" s="1"/>
      <c r="JB174" s="1"/>
      <c r="JC174" s="1"/>
      <c r="JD174" s="135"/>
    </row>
    <row r="175" spans="9:264">
      <c r="I175" s="22"/>
      <c r="J175" s="156" t="s">
        <v>554</v>
      </c>
      <c r="K175" s="156" t="s">
        <v>554</v>
      </c>
      <c r="L175" s="22">
        <v>17</v>
      </c>
      <c r="M175" s="22">
        <v>15</v>
      </c>
      <c r="N175" s="22">
        <v>1.9</v>
      </c>
      <c r="O175" s="22">
        <v>24</v>
      </c>
      <c r="P175" s="22">
        <v>50</v>
      </c>
      <c r="Q175" s="22">
        <v>21</v>
      </c>
      <c r="R175" s="22" t="s">
        <v>555</v>
      </c>
      <c r="S175" s="23" t="s">
        <v>556</v>
      </c>
      <c r="AS175" s="3"/>
      <c r="BD175" s="97"/>
      <c r="CJ175" s="123"/>
      <c r="CR175" s="138"/>
      <c r="CW175" s="170"/>
      <c r="DC175" s="182"/>
      <c r="DD175" s="175"/>
      <c r="DE175" s="267" t="s">
        <v>2998</v>
      </c>
      <c r="DF175" s="57">
        <f>DF213</f>
        <v>0</v>
      </c>
      <c r="DG175" s="175"/>
      <c r="DH175" s="175"/>
      <c r="DI175" s="175"/>
      <c r="DJ175" s="175"/>
      <c r="DK175" s="182"/>
      <c r="DM175" s="2"/>
      <c r="DN175" s="37" t="s">
        <v>3443</v>
      </c>
      <c r="DO175" s="37" t="s">
        <v>3443</v>
      </c>
      <c r="DP175" s="37" t="s">
        <v>939</v>
      </c>
      <c r="DQ175" s="37" t="s">
        <v>3440</v>
      </c>
      <c r="DR175" s="37" t="s">
        <v>940</v>
      </c>
      <c r="DS175" s="22"/>
      <c r="DT175" s="6"/>
      <c r="DZ175" s="48"/>
      <c r="EL175" s="3"/>
      <c r="EM175" s="3"/>
      <c r="FK175" s="135"/>
      <c r="FY175" s="2"/>
      <c r="FZ175" s="37" t="s">
        <v>173</v>
      </c>
      <c r="GA175" s="37" t="s">
        <v>173</v>
      </c>
      <c r="GB175" s="37" t="s">
        <v>173</v>
      </c>
      <c r="GC175" s="37" t="s">
        <v>3964</v>
      </c>
      <c r="GD175" s="37" t="s">
        <v>177</v>
      </c>
      <c r="GF175" s="22"/>
      <c r="GL175" s="48"/>
      <c r="GV175" s="128"/>
      <c r="GW175" s="128"/>
      <c r="HJ175" s="48"/>
      <c r="HK175" s="170"/>
      <c r="HL175" s="175"/>
      <c r="HM175" s="1" t="s">
        <v>3961</v>
      </c>
      <c r="HN175" s="175"/>
      <c r="HO175" s="175"/>
      <c r="HP175" s="175"/>
      <c r="HQ175" s="175"/>
      <c r="HR175" s="175"/>
      <c r="HS175" s="175"/>
      <c r="HT175" s="175"/>
      <c r="HU175" s="175"/>
      <c r="HV175" s="175"/>
      <c r="HW175" s="175"/>
      <c r="HX175" s="175"/>
      <c r="HY175" s="175"/>
      <c r="HZ175" s="175"/>
      <c r="IA175" s="175"/>
      <c r="IB175" s="170"/>
      <c r="IG175" s="1"/>
      <c r="IH175" s="1"/>
      <c r="II175" s="1"/>
      <c r="IJ175" s="1"/>
      <c r="IK175" s="1"/>
      <c r="IL175" s="1"/>
      <c r="IM175" s="1"/>
      <c r="IN175" s="1"/>
      <c r="IO175" s="1"/>
      <c r="IP175" s="1"/>
      <c r="IQ175" s="1"/>
      <c r="IR175" s="1"/>
      <c r="IS175" s="1"/>
      <c r="IT175" s="1"/>
      <c r="IU175" s="1"/>
      <c r="IV175" s="1"/>
      <c r="IW175" s="1"/>
      <c r="IX175" s="1"/>
      <c r="IY175" s="1"/>
      <c r="IZ175" s="1"/>
      <c r="JA175" s="1"/>
      <c r="JB175" s="1"/>
      <c r="JC175" s="1"/>
      <c r="JD175" s="135"/>
    </row>
    <row r="176" spans="9:264">
      <c r="I176" s="22"/>
      <c r="J176" s="156" t="s">
        <v>557</v>
      </c>
      <c r="K176" s="156" t="s">
        <v>557</v>
      </c>
      <c r="L176" s="22">
        <v>17</v>
      </c>
      <c r="M176" s="22">
        <v>0</v>
      </c>
      <c r="N176" s="22">
        <v>17.399999999999999</v>
      </c>
      <c r="O176" s="22">
        <v>30</v>
      </c>
      <c r="P176" s="22">
        <v>55</v>
      </c>
      <c r="Q176" s="22">
        <v>35</v>
      </c>
      <c r="R176" s="22" t="s">
        <v>558</v>
      </c>
      <c r="S176" s="23" t="s">
        <v>559</v>
      </c>
      <c r="AS176" s="3"/>
      <c r="BD176" s="97"/>
      <c r="CJ176" s="123"/>
      <c r="CR176" s="138"/>
      <c r="CW176" s="170"/>
      <c r="DC176" s="182"/>
      <c r="DD176" s="402"/>
      <c r="DE176" s="402" t="s">
        <v>2935</v>
      </c>
      <c r="DF176" s="195">
        <f>IF(DF175&lt;10,0,DF175)</f>
        <v>0</v>
      </c>
      <c r="DG176" s="403" t="s">
        <v>2999</v>
      </c>
      <c r="DH176" s="402"/>
      <c r="DI176" s="402"/>
      <c r="DJ176" s="402"/>
      <c r="DK176" s="182"/>
      <c r="DM176" s="2"/>
      <c r="DN176" s="37" t="s">
        <v>3444</v>
      </c>
      <c r="DO176" s="37" t="s">
        <v>3444</v>
      </c>
      <c r="DP176" s="37" t="s">
        <v>939</v>
      </c>
      <c r="DQ176" s="37" t="s">
        <v>3440</v>
      </c>
      <c r="DR176" s="37" t="s">
        <v>940</v>
      </c>
      <c r="DS176" s="22"/>
      <c r="DT176" s="6"/>
      <c r="DZ176" s="48"/>
      <c r="EL176" s="3"/>
      <c r="EM176" s="3"/>
      <c r="FK176" s="135"/>
      <c r="FY176" s="2"/>
      <c r="FZ176" s="37" t="s">
        <v>3439</v>
      </c>
      <c r="GA176" s="37" t="s">
        <v>3439</v>
      </c>
      <c r="GB176" s="37" t="s">
        <v>939</v>
      </c>
      <c r="GC176" s="37" t="s">
        <v>3966</v>
      </c>
      <c r="GD176" s="37" t="s">
        <v>3713</v>
      </c>
      <c r="GF176" s="22"/>
      <c r="GL176" s="48"/>
      <c r="GV176" s="128"/>
      <c r="GW176" s="128"/>
      <c r="HJ176" s="48"/>
      <c r="HK176" s="170"/>
      <c r="HL176" s="175"/>
      <c r="HM176" s="175" t="s">
        <v>3963</v>
      </c>
      <c r="HN176" s="175">
        <f>IF(HN15=HM176,26,0)</f>
        <v>0</v>
      </c>
      <c r="HO176" s="175"/>
      <c r="HP176" s="175"/>
      <c r="HQ176" s="175"/>
      <c r="HR176" s="175"/>
      <c r="HS176" s="175"/>
      <c r="HT176" s="175"/>
      <c r="HU176" s="175"/>
      <c r="HV176" s="175"/>
      <c r="HW176" s="175"/>
      <c r="HX176" s="175"/>
      <c r="HY176" s="175"/>
      <c r="HZ176" s="175"/>
      <c r="IA176" s="175"/>
      <c r="IB176" s="170"/>
      <c r="IG176" s="1"/>
      <c r="IH176" s="1"/>
      <c r="II176" s="1"/>
      <c r="IJ176" s="1"/>
      <c r="IK176" s="1"/>
      <c r="IL176" s="1"/>
      <c r="IM176" s="1"/>
      <c r="IN176" s="1"/>
      <c r="IO176" s="1"/>
      <c r="IP176" s="1"/>
      <c r="IQ176" s="1"/>
      <c r="IR176" s="1"/>
      <c r="IS176" s="1"/>
      <c r="IT176" s="1"/>
      <c r="IU176" s="1"/>
      <c r="IV176" s="1"/>
      <c r="IW176" s="1"/>
      <c r="IX176" s="1"/>
      <c r="IY176" s="1"/>
      <c r="IZ176" s="1"/>
      <c r="JA176" s="1"/>
      <c r="JB176" s="1"/>
      <c r="JC176" s="1"/>
      <c r="JD176" s="135"/>
    </row>
    <row r="177" spans="9:264">
      <c r="I177" s="22"/>
      <c r="J177" s="156" t="s">
        <v>560</v>
      </c>
      <c r="K177" s="156" t="s">
        <v>560</v>
      </c>
      <c r="L177" s="22">
        <v>16</v>
      </c>
      <c r="M177" s="22">
        <v>41</v>
      </c>
      <c r="N177" s="22">
        <v>17.2</v>
      </c>
      <c r="O177" s="22">
        <v>31</v>
      </c>
      <c r="P177" s="22">
        <v>36</v>
      </c>
      <c r="Q177" s="22">
        <v>10</v>
      </c>
      <c r="R177" s="22" t="s">
        <v>561</v>
      </c>
      <c r="S177" s="23" t="s">
        <v>562</v>
      </c>
      <c r="AS177" s="3"/>
      <c r="BD177" s="97"/>
      <c r="CJ177" s="123"/>
      <c r="CR177" s="138"/>
      <c r="CW177" s="170"/>
      <c r="DC177" s="182"/>
      <c r="DE177" s="1" t="s">
        <v>2933</v>
      </c>
      <c r="DF177" s="404">
        <f>IF(DF176&lt;100,DF176,0)</f>
        <v>0</v>
      </c>
      <c r="DG177" s="1" t="s">
        <v>2931</v>
      </c>
      <c r="DH177" s="405">
        <f t="shared" ref="DH177:DH185" si="10">IF(DF178=0,DF177,0)</f>
        <v>0</v>
      </c>
      <c r="DI177" s="1" t="s">
        <v>2936</v>
      </c>
      <c r="DJ177" s="170">
        <f>IF(DH177&gt;0,90,0)</f>
        <v>0</v>
      </c>
      <c r="DK177" s="182"/>
      <c r="DM177" s="2"/>
      <c r="DN177" s="37" t="s">
        <v>3445</v>
      </c>
      <c r="DO177" s="37" t="s">
        <v>3445</v>
      </c>
      <c r="DP177" s="37" t="s">
        <v>939</v>
      </c>
      <c r="DQ177" s="37" t="s">
        <v>3440</v>
      </c>
      <c r="DR177" s="37" t="s">
        <v>940</v>
      </c>
      <c r="DS177" s="22"/>
      <c r="DT177" s="6"/>
      <c r="DZ177" s="48"/>
      <c r="EL177" s="3"/>
      <c r="EM177" s="3"/>
      <c r="FK177" s="135"/>
      <c r="FY177" s="2"/>
      <c r="FZ177" s="37" t="s">
        <v>3441</v>
      </c>
      <c r="GA177" s="37" t="s">
        <v>3441</v>
      </c>
      <c r="GB177" s="37" t="s">
        <v>939</v>
      </c>
      <c r="GC177" s="37" t="s">
        <v>3968</v>
      </c>
      <c r="GD177" s="37" t="s">
        <v>3713</v>
      </c>
      <c r="GF177" s="22"/>
      <c r="GL177" s="48"/>
      <c r="GV177" s="128"/>
      <c r="GW177" s="128"/>
      <c r="HJ177" s="48"/>
      <c r="HK177" s="170"/>
      <c r="HL177" s="175"/>
      <c r="HM177" s="175" t="s">
        <v>3965</v>
      </c>
      <c r="HN177" s="175">
        <f>IF(HN15=HM177,26,0)</f>
        <v>0</v>
      </c>
      <c r="HO177" s="175"/>
      <c r="HP177" s="175"/>
      <c r="HQ177" s="175"/>
      <c r="HR177" s="175"/>
      <c r="HS177" s="175"/>
      <c r="HT177" s="175"/>
      <c r="HU177" s="175"/>
      <c r="HV177" s="175"/>
      <c r="HW177" s="175"/>
      <c r="HX177" s="175"/>
      <c r="HY177" s="175"/>
      <c r="HZ177" s="175"/>
      <c r="IA177" s="175"/>
      <c r="IB177" s="170"/>
      <c r="IG177" s="1"/>
      <c r="IH177" s="1"/>
      <c r="II177" s="1"/>
      <c r="IJ177" s="1"/>
      <c r="IK177" s="1"/>
      <c r="IL177" s="1"/>
      <c r="IM177" s="1"/>
      <c r="IN177" s="1"/>
      <c r="IO177" s="1"/>
      <c r="IP177" s="1"/>
      <c r="IQ177" s="1"/>
      <c r="IR177" s="1"/>
      <c r="IS177" s="1"/>
      <c r="IT177" s="1"/>
      <c r="IU177" s="1"/>
      <c r="IV177" s="1"/>
      <c r="IW177" s="1"/>
      <c r="IX177" s="1"/>
      <c r="IY177" s="1"/>
      <c r="IZ177" s="1"/>
      <c r="JA177" s="1"/>
      <c r="JB177" s="1"/>
      <c r="JC177" s="1"/>
      <c r="JD177" s="135"/>
    </row>
    <row r="178" spans="9:264">
      <c r="I178" s="22"/>
      <c r="J178" s="156" t="s">
        <v>563</v>
      </c>
      <c r="K178" s="156" t="s">
        <v>563</v>
      </c>
      <c r="L178" s="22">
        <v>16</v>
      </c>
      <c r="M178" s="22">
        <v>42</v>
      </c>
      <c r="N178" s="22">
        <v>53.8</v>
      </c>
      <c r="O178" s="22">
        <v>38</v>
      </c>
      <c r="P178" s="22">
        <v>55</v>
      </c>
      <c r="Q178" s="22">
        <v>20</v>
      </c>
      <c r="R178" s="22" t="s">
        <v>564</v>
      </c>
      <c r="S178" s="23" t="s">
        <v>565</v>
      </c>
      <c r="AS178" s="3"/>
      <c r="BD178" s="97"/>
      <c r="CJ178" s="123"/>
      <c r="CR178" s="138"/>
      <c r="CW178" s="170"/>
      <c r="DC178" s="182"/>
      <c r="DE178" s="1" t="s">
        <v>2937</v>
      </c>
      <c r="DF178" s="404">
        <f>IF(DF176&lt;90,DF176,0)</f>
        <v>0</v>
      </c>
      <c r="DG178" s="1" t="s">
        <v>2931</v>
      </c>
      <c r="DH178" s="405">
        <f t="shared" si="10"/>
        <v>0</v>
      </c>
      <c r="DI178" s="1" t="s">
        <v>2938</v>
      </c>
      <c r="DJ178" s="170">
        <f>IF(DH178&gt;0,80,0)</f>
        <v>0</v>
      </c>
      <c r="DK178" s="182"/>
      <c r="DM178" s="2"/>
      <c r="DN178" s="37" t="s">
        <v>3446</v>
      </c>
      <c r="DO178" s="37" t="s">
        <v>3446</v>
      </c>
      <c r="DP178" s="37" t="s">
        <v>939</v>
      </c>
      <c r="DQ178" s="37" t="s">
        <v>3440</v>
      </c>
      <c r="DR178" s="37" t="s">
        <v>940</v>
      </c>
      <c r="DS178" s="22"/>
      <c r="DT178" s="6"/>
      <c r="DZ178" s="48"/>
      <c r="EL178" s="3"/>
      <c r="EM178" s="3"/>
      <c r="FK178" s="135"/>
      <c r="FY178" s="2"/>
      <c r="FZ178" s="37" t="s">
        <v>3442</v>
      </c>
      <c r="GA178" s="37" t="s">
        <v>3442</v>
      </c>
      <c r="GB178" s="37" t="s">
        <v>939</v>
      </c>
      <c r="GC178" s="37" t="s">
        <v>3968</v>
      </c>
      <c r="GD178" s="37" t="s">
        <v>3713</v>
      </c>
      <c r="GF178" s="22"/>
      <c r="GL178" s="48"/>
      <c r="GV178" s="128"/>
      <c r="GW178" s="128"/>
      <c r="HJ178" s="48"/>
      <c r="HK178" s="170"/>
      <c r="HL178" s="175"/>
      <c r="HM178" s="1" t="s">
        <v>3688</v>
      </c>
      <c r="HN178" s="564">
        <f>HN176+HN177</f>
        <v>0</v>
      </c>
      <c r="HO178" s="175"/>
      <c r="HP178" s="175"/>
      <c r="HQ178" s="175"/>
      <c r="HR178" s="175"/>
      <c r="HS178" s="175"/>
      <c r="HT178" s="175"/>
      <c r="HU178" s="175"/>
      <c r="HV178" s="175"/>
      <c r="HW178" s="175"/>
      <c r="HX178" s="175"/>
      <c r="HY178" s="175"/>
      <c r="HZ178" s="175"/>
      <c r="IA178" s="175"/>
      <c r="IB178" s="170"/>
      <c r="IG178" s="1"/>
      <c r="IH178" s="1"/>
      <c r="II178" s="1"/>
      <c r="IJ178" s="1"/>
      <c r="IK178" s="1"/>
      <c r="IL178" s="1"/>
      <c r="IM178" s="1"/>
      <c r="IN178" s="1"/>
      <c r="IO178" s="1"/>
      <c r="IP178" s="1"/>
      <c r="IQ178" s="1"/>
      <c r="IR178" s="1"/>
      <c r="IS178" s="1"/>
      <c r="IT178" s="1"/>
      <c r="IU178" s="1"/>
      <c r="IV178" s="1"/>
      <c r="IW178" s="1"/>
      <c r="IX178" s="1"/>
      <c r="IY178" s="1"/>
      <c r="IZ178" s="1"/>
      <c r="JA178" s="1"/>
      <c r="JB178" s="1"/>
      <c r="JC178" s="1"/>
      <c r="JD178" s="135"/>
    </row>
    <row r="179" spans="9:264">
      <c r="I179" s="22"/>
      <c r="J179" s="156" t="s">
        <v>566</v>
      </c>
      <c r="K179" s="156" t="s">
        <v>566</v>
      </c>
      <c r="L179" s="22">
        <v>17</v>
      </c>
      <c r="M179" s="22">
        <v>56</v>
      </c>
      <c r="N179" s="22">
        <v>15.2</v>
      </c>
      <c r="O179" s="22">
        <v>37</v>
      </c>
      <c r="P179" s="22">
        <v>15</v>
      </c>
      <c r="Q179" s="22">
        <v>2</v>
      </c>
      <c r="R179" s="22" t="s">
        <v>567</v>
      </c>
      <c r="S179" s="23" t="s">
        <v>568</v>
      </c>
      <c r="AS179" s="3"/>
      <c r="BD179" s="97"/>
      <c r="CJ179" s="123"/>
      <c r="CR179" s="138"/>
      <c r="CW179" s="170"/>
      <c r="DC179" s="182"/>
      <c r="DE179" s="1" t="s">
        <v>2939</v>
      </c>
      <c r="DF179" s="404">
        <f>IF(DF176&lt;80,DF176,0)</f>
        <v>0</v>
      </c>
      <c r="DG179" s="1" t="s">
        <v>2931</v>
      </c>
      <c r="DH179" s="405">
        <f t="shared" si="10"/>
        <v>0</v>
      </c>
      <c r="DI179" s="1" t="s">
        <v>2940</v>
      </c>
      <c r="DJ179" s="170">
        <f>IF(DH179&gt;0,70,0)</f>
        <v>0</v>
      </c>
      <c r="DK179" s="182"/>
      <c r="DM179" s="2"/>
      <c r="DN179" s="37" t="s">
        <v>939</v>
      </c>
      <c r="DO179" s="37" t="s">
        <v>939</v>
      </c>
      <c r="DP179" s="37" t="s">
        <v>939</v>
      </c>
      <c r="DQ179" s="37" t="s">
        <v>3440</v>
      </c>
      <c r="DR179" s="37" t="s">
        <v>940</v>
      </c>
      <c r="DS179" s="22"/>
      <c r="DT179" s="6"/>
      <c r="DZ179" s="48"/>
      <c r="EL179" s="3"/>
      <c r="EM179" s="3"/>
      <c r="FK179" s="135"/>
      <c r="FY179" s="2"/>
      <c r="FZ179" s="37" t="s">
        <v>3443</v>
      </c>
      <c r="GA179" s="37" t="s">
        <v>3443</v>
      </c>
      <c r="GB179" s="37" t="s">
        <v>939</v>
      </c>
      <c r="GC179" s="37" t="s">
        <v>3968</v>
      </c>
      <c r="GD179" s="37" t="s">
        <v>3713</v>
      </c>
      <c r="GF179" s="22"/>
      <c r="GL179" s="48"/>
      <c r="GV179" s="128"/>
      <c r="GW179" s="128"/>
      <c r="HJ179" s="48"/>
      <c r="HK179" s="170"/>
      <c r="HL179" s="175"/>
      <c r="HM179" s="562">
        <v>27</v>
      </c>
      <c r="HN179" s="175"/>
      <c r="HO179" s="175"/>
      <c r="HP179" s="175"/>
      <c r="HQ179" s="175"/>
      <c r="HR179" s="175"/>
      <c r="HS179" s="175"/>
      <c r="HT179" s="175"/>
      <c r="HU179" s="175"/>
      <c r="HV179" s="175"/>
      <c r="HW179" s="175"/>
      <c r="HX179" s="175"/>
      <c r="HY179" s="175"/>
      <c r="HZ179" s="175"/>
      <c r="IA179" s="175"/>
      <c r="IB179" s="170"/>
      <c r="IG179" s="1"/>
      <c r="IH179" s="1"/>
      <c r="II179" s="1"/>
      <c r="IJ179" s="1"/>
      <c r="IK179" s="1"/>
      <c r="IL179" s="1"/>
      <c r="IM179" s="1"/>
      <c r="IN179" s="1"/>
      <c r="IO179" s="1"/>
      <c r="IP179" s="1"/>
      <c r="IQ179" s="1"/>
      <c r="IR179" s="1"/>
      <c r="IS179" s="1"/>
      <c r="IT179" s="1"/>
      <c r="IU179" s="1"/>
      <c r="IV179" s="1"/>
      <c r="IW179" s="1"/>
      <c r="IX179" s="1"/>
      <c r="IY179" s="1"/>
      <c r="IZ179" s="1"/>
      <c r="JA179" s="1"/>
      <c r="JB179" s="1"/>
      <c r="JC179" s="1"/>
      <c r="JD179" s="135"/>
    </row>
    <row r="180" spans="9:264">
      <c r="I180" s="22"/>
      <c r="J180" s="156" t="s">
        <v>569</v>
      </c>
      <c r="K180" s="156" t="s">
        <v>569</v>
      </c>
      <c r="L180" s="22">
        <v>17</v>
      </c>
      <c r="M180" s="22">
        <v>39</v>
      </c>
      <c r="N180" s="22">
        <v>27.9</v>
      </c>
      <c r="O180" s="22">
        <v>46</v>
      </c>
      <c r="P180" s="22">
        <v>0</v>
      </c>
      <c r="Q180" s="22">
        <v>23</v>
      </c>
      <c r="R180" s="22" t="s">
        <v>570</v>
      </c>
      <c r="S180" s="23" t="s">
        <v>571</v>
      </c>
      <c r="AS180" s="3"/>
      <c r="BD180" s="97"/>
      <c r="CJ180" s="123"/>
      <c r="CR180" s="138"/>
      <c r="CW180" s="170"/>
      <c r="DC180" s="182"/>
      <c r="DE180" s="1" t="s">
        <v>2941</v>
      </c>
      <c r="DF180" s="404">
        <f>IF(DF176&lt;70,DF176,0)</f>
        <v>0</v>
      </c>
      <c r="DG180" s="1" t="s">
        <v>2931</v>
      </c>
      <c r="DH180" s="405">
        <f t="shared" si="10"/>
        <v>0</v>
      </c>
      <c r="DI180" s="1" t="s">
        <v>2942</v>
      </c>
      <c r="DJ180" s="170">
        <f>IF(DH180&gt;0,60,0)</f>
        <v>0</v>
      </c>
      <c r="DK180" s="182"/>
      <c r="DM180" s="2"/>
      <c r="DN180" s="37" t="s">
        <v>3447</v>
      </c>
      <c r="DO180" s="37" t="s">
        <v>3447</v>
      </c>
      <c r="DP180" s="37" t="s">
        <v>1158</v>
      </c>
      <c r="DQ180" s="37" t="s">
        <v>3448</v>
      </c>
      <c r="DR180" s="37" t="s">
        <v>1159</v>
      </c>
      <c r="DS180" s="22"/>
      <c r="DT180" s="6"/>
      <c r="DZ180" s="48"/>
      <c r="EL180" s="3"/>
      <c r="EM180" s="3"/>
      <c r="FK180" s="135"/>
      <c r="FY180" s="2"/>
      <c r="FZ180" s="37" t="s">
        <v>3444</v>
      </c>
      <c r="GA180" s="37" t="s">
        <v>3444</v>
      </c>
      <c r="GB180" s="37" t="s">
        <v>939</v>
      </c>
      <c r="GC180" s="37" t="s">
        <v>3968</v>
      </c>
      <c r="GD180" s="37" t="s">
        <v>3713</v>
      </c>
      <c r="GF180" s="22"/>
      <c r="GL180" s="48"/>
      <c r="GV180" s="128"/>
      <c r="GW180" s="128"/>
      <c r="HJ180" s="48"/>
      <c r="HK180" s="170"/>
      <c r="HL180" s="175"/>
      <c r="HM180" s="1" t="s">
        <v>3967</v>
      </c>
      <c r="HN180" s="175"/>
      <c r="HO180" s="175"/>
      <c r="HP180" s="175"/>
      <c r="HQ180" s="175"/>
      <c r="HR180" s="175"/>
      <c r="HS180" s="175"/>
      <c r="HT180" s="175"/>
      <c r="HU180" s="175"/>
      <c r="HV180" s="175"/>
      <c r="HW180" s="175"/>
      <c r="HX180" s="175"/>
      <c r="HY180" s="175"/>
      <c r="HZ180" s="175"/>
      <c r="IA180" s="175"/>
      <c r="IB180" s="170"/>
      <c r="IG180" s="1"/>
      <c r="IH180" s="1"/>
      <c r="II180" s="1"/>
      <c r="IJ180" s="1"/>
      <c r="IK180" s="1"/>
      <c r="IL180" s="1"/>
      <c r="IM180" s="1"/>
      <c r="IN180" s="1"/>
      <c r="IO180" s="1"/>
      <c r="IP180" s="1"/>
      <c r="IQ180" s="1"/>
      <c r="IR180" s="1"/>
      <c r="IS180" s="1"/>
      <c r="IT180" s="1"/>
      <c r="IU180" s="1"/>
      <c r="IV180" s="1"/>
      <c r="IW180" s="1"/>
      <c r="IX180" s="1"/>
      <c r="IY180" s="1"/>
      <c r="IZ180" s="1"/>
      <c r="JA180" s="1"/>
      <c r="JB180" s="1"/>
      <c r="JC180" s="1"/>
      <c r="JD180" s="135"/>
    </row>
    <row r="181" spans="9:264">
      <c r="I181" s="22"/>
      <c r="J181" s="156" t="s">
        <v>572</v>
      </c>
      <c r="K181" s="156" t="s">
        <v>572</v>
      </c>
      <c r="L181" s="22">
        <v>16</v>
      </c>
      <c r="M181" s="22">
        <v>8</v>
      </c>
      <c r="N181" s="22">
        <v>4.5999999999999996</v>
      </c>
      <c r="O181" s="22">
        <v>17</v>
      </c>
      <c r="P181" s="22">
        <v>2</v>
      </c>
      <c r="Q181" s="22">
        <v>49</v>
      </c>
      <c r="R181" s="22" t="s">
        <v>573</v>
      </c>
      <c r="S181" s="23" t="s">
        <v>574</v>
      </c>
      <c r="AS181" s="3"/>
      <c r="BD181" s="97"/>
      <c r="CJ181" s="123"/>
      <c r="CR181" s="138"/>
      <c r="CW181" s="170"/>
      <c r="DC181" s="182"/>
      <c r="DE181" s="1" t="s">
        <v>2943</v>
      </c>
      <c r="DF181" s="404">
        <f>IF(DF176&lt;60,DF176,0)</f>
        <v>0</v>
      </c>
      <c r="DG181" s="1" t="s">
        <v>2931</v>
      </c>
      <c r="DH181" s="405">
        <f t="shared" si="10"/>
        <v>0</v>
      </c>
      <c r="DI181" s="1" t="s">
        <v>2944</v>
      </c>
      <c r="DJ181" s="170">
        <f>IF(DH181&gt;0,50,0)</f>
        <v>0</v>
      </c>
      <c r="DK181" s="182"/>
      <c r="DM181" s="2"/>
      <c r="DN181" s="37" t="s">
        <v>3449</v>
      </c>
      <c r="DO181" s="37" t="s">
        <v>3449</v>
      </c>
      <c r="DP181" s="37" t="s">
        <v>1158</v>
      </c>
      <c r="DQ181" s="37" t="s">
        <v>3448</v>
      </c>
      <c r="DR181" s="37" t="s">
        <v>1159</v>
      </c>
      <c r="DS181" s="22"/>
      <c r="DT181" s="6"/>
      <c r="DZ181" s="48"/>
      <c r="EL181" s="3"/>
      <c r="EM181" s="3"/>
      <c r="FK181" s="135"/>
      <c r="FY181" s="2"/>
      <c r="FZ181" s="37" t="s">
        <v>3445</v>
      </c>
      <c r="GA181" s="37" t="s">
        <v>3445</v>
      </c>
      <c r="GB181" s="37" t="s">
        <v>939</v>
      </c>
      <c r="GC181" s="37" t="s">
        <v>3966</v>
      </c>
      <c r="GD181" s="37" t="s">
        <v>3713</v>
      </c>
      <c r="GF181" s="22"/>
      <c r="GL181" s="48"/>
      <c r="GV181" s="128"/>
      <c r="GW181" s="128"/>
      <c r="HJ181" s="48"/>
      <c r="HK181" s="170"/>
      <c r="HL181" s="175"/>
      <c r="HM181" s="175" t="s">
        <v>3969</v>
      </c>
      <c r="HN181" s="175">
        <f>IF(HN15=HM181,27,0)</f>
        <v>0</v>
      </c>
      <c r="HO181" s="175"/>
      <c r="HP181" s="175"/>
      <c r="HQ181" s="175"/>
      <c r="HR181" s="175"/>
      <c r="HS181" s="175"/>
      <c r="HT181" s="175"/>
      <c r="HU181" s="175"/>
      <c r="HV181" s="175"/>
      <c r="HW181" s="175"/>
      <c r="HX181" s="175"/>
      <c r="HY181" s="175"/>
      <c r="HZ181" s="175"/>
      <c r="IA181" s="175"/>
      <c r="IB181" s="170"/>
      <c r="IG181" s="1"/>
      <c r="IH181" s="1"/>
      <c r="II181" s="1"/>
      <c r="IJ181" s="1"/>
      <c r="IK181" s="1"/>
      <c r="IL181" s="1"/>
      <c r="IM181" s="1"/>
      <c r="IN181" s="1"/>
      <c r="IO181" s="1"/>
      <c r="IP181" s="1"/>
      <c r="IQ181" s="1"/>
      <c r="IR181" s="1"/>
      <c r="IS181" s="1"/>
      <c r="IT181" s="1"/>
      <c r="IU181" s="1"/>
      <c r="IV181" s="1"/>
      <c r="IW181" s="1"/>
      <c r="IX181" s="1"/>
      <c r="IY181" s="1"/>
      <c r="IZ181" s="1"/>
      <c r="JA181" s="1"/>
      <c r="JB181" s="1"/>
      <c r="JC181" s="1"/>
      <c r="JD181" s="135"/>
    </row>
    <row r="182" spans="9:264">
      <c r="I182" s="22"/>
      <c r="J182" s="156" t="s">
        <v>575</v>
      </c>
      <c r="K182" s="156" t="s">
        <v>575</v>
      </c>
      <c r="L182" s="22">
        <v>17</v>
      </c>
      <c r="M182" s="22">
        <v>30</v>
      </c>
      <c r="N182" s="22">
        <v>44.3</v>
      </c>
      <c r="O182" s="22">
        <v>26</v>
      </c>
      <c r="P182" s="22">
        <v>6</v>
      </c>
      <c r="Q182" s="22">
        <v>38</v>
      </c>
      <c r="R182" s="22" t="s">
        <v>576</v>
      </c>
      <c r="S182" s="23" t="s">
        <v>577</v>
      </c>
      <c r="AS182" s="3"/>
      <c r="BD182" s="97"/>
      <c r="CJ182" s="123"/>
      <c r="CR182" s="138"/>
      <c r="CW182" s="170"/>
      <c r="DC182" s="182"/>
      <c r="DE182" s="1" t="s">
        <v>2945</v>
      </c>
      <c r="DF182" s="404">
        <f>IF(DF176&lt;50,DF176,0)</f>
        <v>0</v>
      </c>
      <c r="DG182" s="1" t="s">
        <v>2931</v>
      </c>
      <c r="DH182" s="405">
        <f t="shared" si="10"/>
        <v>0</v>
      </c>
      <c r="DI182" s="1" t="s">
        <v>2946</v>
      </c>
      <c r="DJ182" s="170">
        <f>IF(DH182&gt;0,40,0)</f>
        <v>0</v>
      </c>
      <c r="DK182" s="182"/>
      <c r="DM182" s="2"/>
      <c r="DN182" s="37" t="s">
        <v>3450</v>
      </c>
      <c r="DO182" s="37" t="s">
        <v>3450</v>
      </c>
      <c r="DP182" s="37" t="s">
        <v>1158</v>
      </c>
      <c r="DQ182" s="37" t="s">
        <v>3448</v>
      </c>
      <c r="DR182" s="37" t="s">
        <v>1159</v>
      </c>
      <c r="DS182" s="22"/>
      <c r="DT182" s="6"/>
      <c r="DZ182" s="48"/>
      <c r="EL182" s="3"/>
      <c r="EM182" s="3"/>
      <c r="FK182" s="135"/>
      <c r="FY182" s="2"/>
      <c r="FZ182" s="37" t="s">
        <v>3446</v>
      </c>
      <c r="GA182" s="37" t="s">
        <v>3446</v>
      </c>
      <c r="GB182" s="37" t="s">
        <v>939</v>
      </c>
      <c r="GC182" s="37" t="s">
        <v>3968</v>
      </c>
      <c r="GD182" s="37" t="s">
        <v>3713</v>
      </c>
      <c r="GF182" s="22"/>
      <c r="GL182" s="48"/>
      <c r="GV182" s="128"/>
      <c r="GW182" s="128"/>
      <c r="HJ182" s="48"/>
      <c r="HK182" s="170"/>
      <c r="HL182" s="175"/>
      <c r="HM182" s="175" t="s">
        <v>3970</v>
      </c>
      <c r="HN182" s="175">
        <f>IF(HN15=HM182,27,0)</f>
        <v>0</v>
      </c>
      <c r="HO182" s="175"/>
      <c r="HP182" s="175"/>
      <c r="HQ182" s="175"/>
      <c r="HR182" s="175"/>
      <c r="HS182" s="175"/>
      <c r="HT182" s="175"/>
      <c r="HU182" s="175"/>
      <c r="HV182" s="175"/>
      <c r="HW182" s="175"/>
      <c r="HX182" s="175"/>
      <c r="HY182" s="175"/>
      <c r="HZ182" s="175"/>
      <c r="IA182" s="175"/>
      <c r="IB182" s="170"/>
      <c r="IG182" s="1"/>
      <c r="IH182" s="1"/>
      <c r="II182" s="1"/>
      <c r="IJ182" s="1"/>
      <c r="IK182" s="1"/>
      <c r="IL182" s="1"/>
      <c r="IM182" s="1"/>
      <c r="IN182" s="1"/>
      <c r="IO182" s="1"/>
      <c r="IP182" s="1"/>
      <c r="IQ182" s="1"/>
      <c r="IR182" s="1"/>
      <c r="IS182" s="1"/>
      <c r="IT182" s="1"/>
      <c r="IU182" s="1"/>
      <c r="IV182" s="1"/>
      <c r="IW182" s="1"/>
      <c r="IX182" s="1"/>
      <c r="IY182" s="1"/>
      <c r="IZ182" s="1"/>
      <c r="JA182" s="1"/>
      <c r="JB182" s="1"/>
      <c r="JC182" s="1"/>
      <c r="JD182" s="135"/>
    </row>
    <row r="183" spans="9:264">
      <c r="I183" s="22"/>
      <c r="J183" s="156" t="s">
        <v>578</v>
      </c>
      <c r="K183" s="156" t="s">
        <v>578</v>
      </c>
      <c r="L183" s="22">
        <v>17</v>
      </c>
      <c r="M183" s="22">
        <v>46</v>
      </c>
      <c r="N183" s="22">
        <v>27.5</v>
      </c>
      <c r="O183" s="22">
        <v>27</v>
      </c>
      <c r="P183" s="22">
        <v>43</v>
      </c>
      <c r="Q183" s="22">
        <v>14</v>
      </c>
      <c r="R183" s="22" t="s">
        <v>579</v>
      </c>
      <c r="S183" s="23" t="s">
        <v>580</v>
      </c>
      <c r="AS183" s="3"/>
      <c r="BD183" s="97"/>
      <c r="CJ183" s="123"/>
      <c r="CR183" s="138"/>
      <c r="CW183" s="170"/>
      <c r="DC183" s="182"/>
      <c r="DE183" s="1" t="s">
        <v>2947</v>
      </c>
      <c r="DF183" s="404">
        <f>IF(DF176&lt;40,DF176,0)</f>
        <v>0</v>
      </c>
      <c r="DG183" s="1" t="s">
        <v>2931</v>
      </c>
      <c r="DH183" s="405">
        <f t="shared" si="10"/>
        <v>0</v>
      </c>
      <c r="DI183" s="1" t="s">
        <v>2948</v>
      </c>
      <c r="DJ183" s="170">
        <f>IF(DH183&gt;0,30,0)</f>
        <v>0</v>
      </c>
      <c r="DK183" s="182"/>
      <c r="DM183" s="2"/>
      <c r="DN183" s="37" t="s">
        <v>1158</v>
      </c>
      <c r="DO183" s="37" t="s">
        <v>1158</v>
      </c>
      <c r="DP183" s="37" t="s">
        <v>1158</v>
      </c>
      <c r="DQ183" s="37" t="s">
        <v>3448</v>
      </c>
      <c r="DR183" s="37" t="s">
        <v>1159</v>
      </c>
      <c r="DS183" s="22"/>
      <c r="DT183" s="6"/>
      <c r="DZ183" s="48"/>
      <c r="EL183" s="3"/>
      <c r="EM183" s="3"/>
      <c r="FK183" s="135"/>
      <c r="FY183" s="2"/>
      <c r="FZ183" s="37" t="s">
        <v>939</v>
      </c>
      <c r="GA183" s="37" t="s">
        <v>939</v>
      </c>
      <c r="GB183" s="37" t="s">
        <v>939</v>
      </c>
      <c r="GC183" s="37" t="s">
        <v>3968</v>
      </c>
      <c r="GD183" s="37" t="s">
        <v>3713</v>
      </c>
      <c r="GF183" s="22"/>
      <c r="GL183" s="48"/>
      <c r="GV183" s="128"/>
      <c r="GW183" s="128"/>
      <c r="HJ183" s="48"/>
      <c r="HK183" s="170"/>
      <c r="HL183" s="175"/>
      <c r="HM183" s="1" t="s">
        <v>3688</v>
      </c>
      <c r="HN183" s="564">
        <f>HN181+HN182</f>
        <v>0</v>
      </c>
      <c r="HO183" s="175"/>
      <c r="HP183" s="175"/>
      <c r="HQ183" s="175"/>
      <c r="HR183" s="175"/>
      <c r="HS183" s="175"/>
      <c r="HT183" s="175"/>
      <c r="HU183" s="175"/>
      <c r="HV183" s="175"/>
      <c r="HW183" s="175"/>
      <c r="HX183" s="175"/>
      <c r="HY183" s="175"/>
      <c r="HZ183" s="175"/>
      <c r="IA183" s="175"/>
      <c r="IB183" s="170"/>
      <c r="IG183" s="1"/>
      <c r="IH183" s="1"/>
      <c r="II183" s="1"/>
      <c r="IJ183" s="1"/>
      <c r="IK183" s="1"/>
      <c r="IL183" s="1"/>
      <c r="IM183" s="1"/>
      <c r="IN183" s="1"/>
      <c r="IO183" s="1"/>
      <c r="IP183" s="1"/>
      <c r="IQ183" s="1"/>
      <c r="IR183" s="1"/>
      <c r="IS183" s="1"/>
      <c r="IT183" s="1"/>
      <c r="IU183" s="1"/>
      <c r="IV183" s="1"/>
      <c r="IW183" s="1"/>
      <c r="IX183" s="1"/>
      <c r="IY183" s="1"/>
      <c r="IZ183" s="1"/>
      <c r="JA183" s="1"/>
      <c r="JB183" s="1"/>
      <c r="JC183" s="1"/>
      <c r="JD183" s="135"/>
    </row>
    <row r="184" spans="9:264">
      <c r="I184" s="22"/>
      <c r="J184" s="156" t="s">
        <v>581</v>
      </c>
      <c r="K184" s="156" t="s">
        <v>581</v>
      </c>
      <c r="L184" s="22">
        <v>17</v>
      </c>
      <c r="M184" s="22">
        <v>57</v>
      </c>
      <c r="N184" s="22">
        <v>45.9</v>
      </c>
      <c r="O184" s="22">
        <v>29</v>
      </c>
      <c r="P184" s="22">
        <v>14</v>
      </c>
      <c r="Q184" s="22">
        <v>52</v>
      </c>
      <c r="R184" s="22" t="s">
        <v>582</v>
      </c>
      <c r="S184" s="23" t="s">
        <v>583</v>
      </c>
      <c r="AS184" s="3"/>
      <c r="BD184" s="97"/>
      <c r="CJ184" s="123"/>
      <c r="CR184" s="138"/>
      <c r="CW184" s="170"/>
      <c r="DC184" s="182"/>
      <c r="DE184" s="1" t="s">
        <v>2949</v>
      </c>
      <c r="DF184" s="404">
        <f>IF(DF176&lt;30,DF176,0)</f>
        <v>0</v>
      </c>
      <c r="DG184" s="1" t="s">
        <v>2931</v>
      </c>
      <c r="DH184" s="405">
        <f t="shared" si="10"/>
        <v>0</v>
      </c>
      <c r="DI184" s="1" t="s">
        <v>2950</v>
      </c>
      <c r="DJ184" s="170">
        <f>IF(DH184&gt;0,20,0)</f>
        <v>0</v>
      </c>
      <c r="DK184" s="182"/>
      <c r="DM184" s="2"/>
      <c r="DN184" s="37" t="s">
        <v>3451</v>
      </c>
      <c r="DO184" s="37" t="s">
        <v>3451</v>
      </c>
      <c r="DP184" s="37" t="s">
        <v>939</v>
      </c>
      <c r="DQ184" s="37" t="s">
        <v>3440</v>
      </c>
      <c r="DR184" s="37" t="s">
        <v>940</v>
      </c>
      <c r="DS184" s="22"/>
      <c r="DT184" s="6"/>
      <c r="DZ184" s="48"/>
      <c r="EL184" s="3"/>
      <c r="EM184" s="3"/>
      <c r="FK184" s="135"/>
      <c r="FY184" s="2"/>
      <c r="FZ184" s="37" t="s">
        <v>3447</v>
      </c>
      <c r="GA184" s="37" t="s">
        <v>3447</v>
      </c>
      <c r="GB184" s="37" t="s">
        <v>1158</v>
      </c>
      <c r="GC184" s="37" t="s">
        <v>3972</v>
      </c>
      <c r="GD184" s="37" t="s">
        <v>3803</v>
      </c>
      <c r="GF184" s="22"/>
      <c r="GL184" s="48"/>
      <c r="GV184" s="128"/>
      <c r="GW184" s="128"/>
      <c r="HJ184" s="48"/>
      <c r="HK184" s="170"/>
      <c r="HL184" s="175"/>
      <c r="HM184" s="562">
        <v>28</v>
      </c>
      <c r="HN184" s="175"/>
      <c r="HO184" s="175"/>
      <c r="HP184" s="175"/>
      <c r="HQ184" s="175"/>
      <c r="HR184" s="175"/>
      <c r="HS184" s="175"/>
      <c r="HT184" s="175"/>
      <c r="HU184" s="175"/>
      <c r="HV184" s="175"/>
      <c r="HW184" s="175"/>
      <c r="HX184" s="175"/>
      <c r="HY184" s="175"/>
      <c r="HZ184" s="175"/>
      <c r="IA184" s="175"/>
      <c r="IB184" s="170"/>
      <c r="IG184" s="1"/>
      <c r="IH184" s="1"/>
      <c r="II184" s="1"/>
      <c r="IJ184" s="1"/>
      <c r="IK184" s="1"/>
      <c r="IL184" s="1"/>
      <c r="IM184" s="1"/>
      <c r="IN184" s="1"/>
      <c r="IO184" s="1"/>
      <c r="IP184" s="1"/>
      <c r="IQ184" s="1"/>
      <c r="IR184" s="1"/>
      <c r="IS184" s="1"/>
      <c r="IT184" s="1"/>
      <c r="IU184" s="1"/>
      <c r="IV184" s="1"/>
      <c r="IW184" s="1"/>
      <c r="IX184" s="1"/>
      <c r="IY184" s="1"/>
      <c r="IZ184" s="1"/>
      <c r="JA184" s="1"/>
      <c r="JB184" s="1"/>
      <c r="JC184" s="1"/>
      <c r="JD184" s="135"/>
    </row>
    <row r="185" spans="9:264">
      <c r="I185" s="22"/>
      <c r="J185" s="156" t="s">
        <v>584</v>
      </c>
      <c r="K185" s="156" t="s">
        <v>584</v>
      </c>
      <c r="L185" s="22">
        <v>18</v>
      </c>
      <c r="M185" s="22">
        <v>7</v>
      </c>
      <c r="N185" s="22">
        <v>32.6</v>
      </c>
      <c r="O185" s="22">
        <v>28</v>
      </c>
      <c r="P185" s="22">
        <v>45</v>
      </c>
      <c r="Q185" s="22">
        <v>45</v>
      </c>
      <c r="R185" s="22" t="s">
        <v>585</v>
      </c>
      <c r="S185" s="23" t="s">
        <v>586</v>
      </c>
      <c r="AS185" s="3"/>
      <c r="BD185" s="97"/>
      <c r="CJ185" s="123"/>
      <c r="CR185" s="138"/>
      <c r="CW185" s="170"/>
      <c r="DC185" s="182"/>
      <c r="DE185" s="1" t="s">
        <v>2951</v>
      </c>
      <c r="DF185" s="404">
        <f>IF(DF176&lt;20,DF176,0)</f>
        <v>0</v>
      </c>
      <c r="DG185" s="1" t="s">
        <v>2931</v>
      </c>
      <c r="DH185" s="405">
        <f t="shared" si="10"/>
        <v>0</v>
      </c>
      <c r="DI185" s="1" t="s">
        <v>2952</v>
      </c>
      <c r="DJ185" s="170">
        <f>IF(DH185&gt;0,10,0)</f>
        <v>0</v>
      </c>
      <c r="DK185" s="182"/>
      <c r="DM185" s="2"/>
      <c r="DN185" s="37" t="s">
        <v>3452</v>
      </c>
      <c r="DO185" s="37" t="s">
        <v>3452</v>
      </c>
      <c r="DP185" s="37" t="s">
        <v>939</v>
      </c>
      <c r="DQ185" s="37" t="s">
        <v>3440</v>
      </c>
      <c r="DR185" s="37" t="s">
        <v>940</v>
      </c>
      <c r="DS185" s="22"/>
      <c r="DT185" s="6"/>
      <c r="DZ185" s="48"/>
      <c r="EL185" s="3"/>
      <c r="EM185" s="3"/>
      <c r="FK185" s="135"/>
      <c r="FY185" s="2"/>
      <c r="FZ185" s="37" t="s">
        <v>3449</v>
      </c>
      <c r="GA185" s="37" t="s">
        <v>3449</v>
      </c>
      <c r="GB185" s="37" t="s">
        <v>1158</v>
      </c>
      <c r="GC185" s="37" t="s">
        <v>3972</v>
      </c>
      <c r="GD185" s="37" t="s">
        <v>3803</v>
      </c>
      <c r="GF185" s="22"/>
      <c r="GL185" s="48"/>
      <c r="HJ185" s="48"/>
      <c r="HK185" s="170"/>
      <c r="HL185" s="175"/>
      <c r="HM185" s="1" t="s">
        <v>3971</v>
      </c>
      <c r="HN185" s="175" t="s">
        <v>2069</v>
      </c>
      <c r="HO185" s="175"/>
      <c r="HP185" s="175"/>
      <c r="HQ185" s="175"/>
      <c r="HR185" s="175"/>
      <c r="HS185" s="175"/>
      <c r="HT185" s="175"/>
      <c r="HU185" s="175"/>
      <c r="HV185" s="175"/>
      <c r="HW185" s="175"/>
      <c r="HX185" s="175"/>
      <c r="HY185" s="175"/>
      <c r="HZ185" s="175"/>
      <c r="IA185" s="175"/>
      <c r="IB185" s="170"/>
      <c r="IG185" s="1"/>
      <c r="IH185" s="1"/>
      <c r="II185" s="1"/>
      <c r="IJ185" s="1"/>
      <c r="IK185" s="1"/>
      <c r="IL185" s="1"/>
      <c r="IM185" s="1"/>
      <c r="IN185" s="1"/>
      <c r="IO185" s="1"/>
      <c r="IP185" s="1"/>
      <c r="IQ185" s="1"/>
      <c r="IR185" s="1"/>
      <c r="IS185" s="1"/>
      <c r="IT185" s="1"/>
      <c r="IU185" s="1"/>
      <c r="IV185" s="1"/>
      <c r="IW185" s="1"/>
      <c r="IX185" s="1"/>
      <c r="IY185" s="1"/>
      <c r="IZ185" s="1"/>
      <c r="JA185" s="1"/>
      <c r="JB185" s="1"/>
      <c r="JC185" s="1"/>
      <c r="JD185" s="135"/>
    </row>
    <row r="186" spans="9:264">
      <c r="I186" s="22"/>
      <c r="J186" s="156" t="s">
        <v>587</v>
      </c>
      <c r="K186" s="156" t="s">
        <v>587</v>
      </c>
      <c r="L186" s="22">
        <v>17</v>
      </c>
      <c r="M186" s="22">
        <v>15</v>
      </c>
      <c r="N186" s="22">
        <v>2.9</v>
      </c>
      <c r="O186" s="22">
        <v>36</v>
      </c>
      <c r="P186" s="22">
        <v>48</v>
      </c>
      <c r="Q186" s="22">
        <v>33</v>
      </c>
      <c r="R186" s="22" t="s">
        <v>588</v>
      </c>
      <c r="S186" s="23" t="s">
        <v>589</v>
      </c>
      <c r="V186" s="5"/>
      <c r="W186" s="5"/>
      <c r="X186" s="283" t="s">
        <v>3101</v>
      </c>
      <c r="Y186" s="5"/>
      <c r="Z186" s="342"/>
      <c r="AA186" s="5"/>
      <c r="AB186" s="5"/>
      <c r="AC186" s="5"/>
      <c r="AD186" s="5"/>
      <c r="AE186" s="5"/>
      <c r="AF186" s="5"/>
      <c r="AG186" s="5"/>
      <c r="AS186" s="3"/>
      <c r="BD186" s="97"/>
      <c r="CJ186" s="123"/>
      <c r="CR186" s="138"/>
      <c r="CW186" s="170"/>
      <c r="DC186" s="182"/>
      <c r="DE186" s="1" t="s">
        <v>2953</v>
      </c>
      <c r="DF186" s="404">
        <f>IF(DF176&lt;10,DF176,0)</f>
        <v>0</v>
      </c>
      <c r="DG186" s="1" t="s">
        <v>2932</v>
      </c>
      <c r="DH186" s="405">
        <f>DH177+DH178+DH179+DH180+DH181+DH182+DH183+DH184+DH185</f>
        <v>0</v>
      </c>
      <c r="DI186" s="1" t="s">
        <v>2932</v>
      </c>
      <c r="DJ186" s="170">
        <f>DJ177+DJ178+DJ179+DJ180+DJ181+DJ182+DJ183+DJ184+DJ185</f>
        <v>0</v>
      </c>
      <c r="DK186" s="182"/>
      <c r="DM186" s="2"/>
      <c r="DN186" s="37" t="s">
        <v>3453</v>
      </c>
      <c r="DO186" s="37" t="s">
        <v>3453</v>
      </c>
      <c r="DP186" s="37" t="s">
        <v>939</v>
      </c>
      <c r="DQ186" s="37" t="s">
        <v>3440</v>
      </c>
      <c r="DR186" s="37" t="s">
        <v>940</v>
      </c>
      <c r="DS186" s="22"/>
      <c r="DT186" s="6"/>
      <c r="DZ186" s="48"/>
      <c r="EL186" s="3"/>
      <c r="EM186" s="3"/>
      <c r="FK186" s="135"/>
      <c r="FY186" s="2"/>
      <c r="FZ186" s="37" t="s">
        <v>3450</v>
      </c>
      <c r="GA186" s="37" t="s">
        <v>3450</v>
      </c>
      <c r="GB186" s="37" t="s">
        <v>1158</v>
      </c>
      <c r="GC186" s="37" t="s">
        <v>3972</v>
      </c>
      <c r="GD186" s="37" t="s">
        <v>3803</v>
      </c>
      <c r="GF186" s="22"/>
      <c r="GL186" s="48"/>
      <c r="HJ186" s="48"/>
      <c r="HK186" s="170"/>
      <c r="HM186" s="175" t="s">
        <v>3913</v>
      </c>
      <c r="HN186" s="170">
        <f>IF(HN15=HM186,28,0)</f>
        <v>0</v>
      </c>
      <c r="HU186" s="175"/>
      <c r="HV186" s="175"/>
      <c r="IB186" s="170"/>
      <c r="IG186" s="1"/>
      <c r="IH186" s="1"/>
      <c r="II186" s="1"/>
      <c r="IJ186" s="1"/>
      <c r="IK186" s="1"/>
      <c r="IL186" s="1"/>
      <c r="IM186" s="1"/>
      <c r="IN186" s="1"/>
      <c r="IO186" s="1"/>
      <c r="IP186" s="1"/>
      <c r="IQ186" s="1"/>
      <c r="IR186" s="1"/>
      <c r="IS186" s="1"/>
      <c r="IT186" s="1"/>
      <c r="IU186" s="1"/>
      <c r="IV186" s="1"/>
      <c r="IW186" s="1"/>
      <c r="IX186" s="1"/>
      <c r="IY186" s="1"/>
      <c r="IZ186" s="1"/>
      <c r="JA186" s="1"/>
      <c r="JB186" s="1"/>
      <c r="JC186" s="1"/>
      <c r="JD186" s="135"/>
    </row>
    <row r="187" spans="9:264">
      <c r="I187" s="22"/>
      <c r="J187" s="112" t="s">
        <v>590</v>
      </c>
      <c r="K187" s="112" t="s">
        <v>590</v>
      </c>
      <c r="L187" s="37">
        <v>17</v>
      </c>
      <c r="M187" s="37">
        <v>23</v>
      </c>
      <c r="N187" s="37">
        <v>40.9</v>
      </c>
      <c r="O187" s="37">
        <v>37</v>
      </c>
      <c r="P187" s="37">
        <v>8</v>
      </c>
      <c r="Q187" s="37">
        <v>45</v>
      </c>
      <c r="R187" s="22" t="s">
        <v>591</v>
      </c>
      <c r="S187" s="23" t="s">
        <v>592</v>
      </c>
      <c r="AS187" s="3"/>
      <c r="BD187" s="97"/>
      <c r="CJ187" s="123"/>
      <c r="CR187" s="138"/>
      <c r="CW187" s="170"/>
      <c r="DC187" s="182"/>
      <c r="DG187" s="1" t="s">
        <v>2934</v>
      </c>
      <c r="DH187" s="406">
        <f>DH186-DJ186</f>
        <v>0</v>
      </c>
      <c r="DK187" s="182"/>
      <c r="DM187" s="2"/>
      <c r="DN187" s="37" t="s">
        <v>3454</v>
      </c>
      <c r="DO187" s="37" t="s">
        <v>3454</v>
      </c>
      <c r="DP187" s="37" t="s">
        <v>939</v>
      </c>
      <c r="DQ187" s="37" t="s">
        <v>3440</v>
      </c>
      <c r="DR187" s="37" t="s">
        <v>940</v>
      </c>
      <c r="DS187" s="22"/>
      <c r="DT187" s="6"/>
      <c r="DZ187" s="48"/>
      <c r="EL187" s="3"/>
      <c r="EM187" s="3"/>
      <c r="FK187" s="135"/>
      <c r="FY187" s="2"/>
      <c r="FZ187" s="37" t="s">
        <v>1158</v>
      </c>
      <c r="GA187" s="37" t="s">
        <v>1158</v>
      </c>
      <c r="GB187" s="37" t="s">
        <v>1158</v>
      </c>
      <c r="GC187" s="37" t="s">
        <v>3972</v>
      </c>
      <c r="GD187" s="37" t="s">
        <v>3803</v>
      </c>
      <c r="GF187" s="22"/>
      <c r="GL187" s="48"/>
      <c r="HJ187" s="48"/>
      <c r="HK187" s="170"/>
      <c r="HM187" s="562">
        <v>29</v>
      </c>
      <c r="HN187" s="175"/>
      <c r="IB187" s="170"/>
      <c r="IG187" s="1"/>
      <c r="IH187" s="1"/>
      <c r="II187" s="1"/>
      <c r="IJ187" s="1"/>
      <c r="IK187" s="1"/>
      <c r="IL187" s="1"/>
      <c r="IM187" s="1"/>
      <c r="IN187" s="1"/>
      <c r="IO187" s="1"/>
      <c r="IP187" s="1"/>
      <c r="IQ187" s="1"/>
      <c r="IR187" s="1"/>
      <c r="IS187" s="1"/>
      <c r="IT187" s="1"/>
      <c r="IU187" s="1"/>
      <c r="IV187" s="1"/>
      <c r="IW187" s="1"/>
      <c r="IX187" s="1"/>
      <c r="IY187" s="1"/>
      <c r="IZ187" s="1"/>
      <c r="JA187" s="1"/>
      <c r="JB187" s="1"/>
      <c r="JC187" s="1"/>
      <c r="JD187" s="135"/>
    </row>
    <row r="188" spans="9:264">
      <c r="I188" s="22"/>
      <c r="J188" s="156" t="s">
        <v>593</v>
      </c>
      <c r="K188" s="156" t="s">
        <v>593</v>
      </c>
      <c r="L188" s="22">
        <v>16</v>
      </c>
      <c r="M188" s="22">
        <v>34</v>
      </c>
      <c r="N188" s="22">
        <v>6.2</v>
      </c>
      <c r="O188" s="22">
        <v>42</v>
      </c>
      <c r="P188" s="22">
        <v>26</v>
      </c>
      <c r="Q188" s="22">
        <v>13</v>
      </c>
      <c r="R188" s="22" t="s">
        <v>594</v>
      </c>
      <c r="S188" s="23" t="s">
        <v>595</v>
      </c>
      <c r="AS188" s="3"/>
      <c r="BD188" s="97"/>
      <c r="CJ188" s="123"/>
      <c r="CR188" s="138"/>
      <c r="CW188" s="170"/>
      <c r="DC188" s="182"/>
      <c r="DD188" s="175"/>
      <c r="DE188" s="175" t="s">
        <v>3000</v>
      </c>
      <c r="DF188" s="65">
        <f>DF213</f>
        <v>0</v>
      </c>
      <c r="DH188" s="175"/>
      <c r="DK188" s="182"/>
      <c r="DM188" s="2"/>
      <c r="DN188" s="37" t="s">
        <v>3455</v>
      </c>
      <c r="DO188" s="37" t="s">
        <v>3455</v>
      </c>
      <c r="DP188" s="37" t="s">
        <v>1525</v>
      </c>
      <c r="DQ188" s="37" t="s">
        <v>3456</v>
      </c>
      <c r="DR188" s="37" t="s">
        <v>1526</v>
      </c>
      <c r="DS188" s="22"/>
      <c r="DT188" s="6"/>
      <c r="DZ188" s="48"/>
      <c r="EL188" s="3"/>
      <c r="EM188" s="3"/>
      <c r="FK188" s="135"/>
      <c r="FY188" s="2"/>
      <c r="FZ188" s="37" t="s">
        <v>3451</v>
      </c>
      <c r="GA188" s="37" t="s">
        <v>3451</v>
      </c>
      <c r="GB188" s="37" t="s">
        <v>939</v>
      </c>
      <c r="GC188" s="37" t="s">
        <v>3966</v>
      </c>
      <c r="GD188" s="37" t="s">
        <v>3713</v>
      </c>
      <c r="GF188" s="22"/>
      <c r="GL188" s="48"/>
      <c r="HJ188" s="48"/>
      <c r="HK188" s="170"/>
      <c r="HM188" s="1" t="s">
        <v>4049</v>
      </c>
      <c r="HN188" s="170">
        <f>IF(HN19=HM188,29,0)</f>
        <v>0</v>
      </c>
      <c r="IB188" s="170"/>
      <c r="IG188" s="1"/>
      <c r="IH188" s="1"/>
      <c r="II188" s="1"/>
      <c r="IJ188" s="1"/>
      <c r="IK188" s="1"/>
      <c r="IL188" s="1"/>
      <c r="IM188" s="1"/>
      <c r="IN188" s="1"/>
      <c r="IO188" s="1"/>
      <c r="IP188" s="1"/>
      <c r="IQ188" s="1"/>
      <c r="IR188" s="1"/>
      <c r="IS188" s="1"/>
      <c r="IT188" s="1"/>
      <c r="IU188" s="1"/>
      <c r="IV188" s="1"/>
      <c r="IW188" s="1"/>
      <c r="IX188" s="1"/>
      <c r="IY188" s="1"/>
      <c r="IZ188" s="1"/>
      <c r="JA188" s="1"/>
      <c r="JB188" s="1"/>
      <c r="JC188" s="1"/>
      <c r="JD188" s="135"/>
    </row>
    <row r="189" spans="9:264">
      <c r="I189" s="22"/>
      <c r="J189" s="156" t="s">
        <v>596</v>
      </c>
      <c r="K189" s="156" t="s">
        <v>596</v>
      </c>
      <c r="L189" s="22">
        <v>16</v>
      </c>
      <c r="M189" s="22">
        <v>19</v>
      </c>
      <c r="N189" s="22">
        <v>44.4</v>
      </c>
      <c r="O189" s="22">
        <v>46</v>
      </c>
      <c r="P189" s="22">
        <v>18</v>
      </c>
      <c r="Q189" s="22">
        <v>48</v>
      </c>
      <c r="R189" s="22" t="s">
        <v>597</v>
      </c>
      <c r="S189" s="23" t="s">
        <v>598</v>
      </c>
      <c r="AS189" s="3"/>
      <c r="BD189" s="97"/>
      <c r="CJ189" s="123"/>
      <c r="CR189" s="138"/>
      <c r="CW189" s="170"/>
      <c r="DC189" s="182"/>
      <c r="DE189" s="402" t="s">
        <v>3001</v>
      </c>
      <c r="DF189" s="195">
        <f>IF(DF188&lt;10,DF188,DH187)</f>
        <v>0</v>
      </c>
      <c r="DG189" s="403" t="s">
        <v>3002</v>
      </c>
      <c r="DH189" s="402"/>
      <c r="DI189" s="402"/>
      <c r="DJ189" s="402"/>
      <c r="DK189" s="182"/>
      <c r="DM189" s="2"/>
      <c r="DN189" s="37" t="s">
        <v>3225</v>
      </c>
      <c r="DO189" s="37" t="s">
        <v>3225</v>
      </c>
      <c r="DP189" s="37" t="s">
        <v>1525</v>
      </c>
      <c r="DQ189" s="37" t="s">
        <v>3456</v>
      </c>
      <c r="DR189" s="37" t="s">
        <v>1526</v>
      </c>
      <c r="DS189" s="22"/>
      <c r="DT189" s="6"/>
      <c r="DZ189" s="48"/>
      <c r="EL189" s="3"/>
      <c r="EM189" s="3"/>
      <c r="FK189" s="135"/>
      <c r="FY189" s="2"/>
      <c r="FZ189" s="37" t="s">
        <v>3452</v>
      </c>
      <c r="GA189" s="37" t="s">
        <v>3452</v>
      </c>
      <c r="GB189" s="37" t="s">
        <v>939</v>
      </c>
      <c r="GC189" s="37" t="s">
        <v>3968</v>
      </c>
      <c r="GD189" s="37" t="s">
        <v>3713</v>
      </c>
      <c r="GF189" s="22"/>
      <c r="GL189" s="48"/>
      <c r="HJ189" s="48"/>
      <c r="HK189" s="170"/>
      <c r="IB189" s="170"/>
      <c r="IG189" s="1"/>
      <c r="IH189" s="1"/>
      <c r="II189" s="1"/>
      <c r="IJ189" s="1"/>
      <c r="IK189" s="1"/>
      <c r="IL189" s="1"/>
      <c r="IM189" s="1"/>
      <c r="IN189" s="1"/>
      <c r="IO189" s="1"/>
      <c r="IP189" s="1"/>
      <c r="IQ189" s="1"/>
      <c r="IR189" s="1"/>
      <c r="IS189" s="1"/>
      <c r="IT189" s="1"/>
      <c r="IU189" s="1"/>
      <c r="IV189" s="1"/>
      <c r="IW189" s="1"/>
      <c r="IX189" s="1"/>
      <c r="IY189" s="1"/>
      <c r="IZ189" s="1"/>
      <c r="JA189" s="1"/>
      <c r="JB189" s="1"/>
      <c r="JC189" s="1"/>
      <c r="JD189" s="135"/>
    </row>
    <row r="190" spans="9:264">
      <c r="I190" s="22"/>
      <c r="J190" s="156" t="s">
        <v>599</v>
      </c>
      <c r="K190" s="156" t="s">
        <v>599</v>
      </c>
      <c r="L190" s="22">
        <v>16</v>
      </c>
      <c r="M190" s="22">
        <v>2</v>
      </c>
      <c r="N190" s="22">
        <v>47.9</v>
      </c>
      <c r="O190" s="22">
        <v>46</v>
      </c>
      <c r="P190" s="22">
        <v>2</v>
      </c>
      <c r="Q190" s="22">
        <v>12</v>
      </c>
      <c r="R190" s="22" t="s">
        <v>600</v>
      </c>
      <c r="S190" s="23" t="s">
        <v>601</v>
      </c>
      <c r="AS190" s="3"/>
      <c r="BD190" s="97"/>
      <c r="CJ190" s="123"/>
      <c r="CR190" s="138"/>
      <c r="CW190" s="170"/>
      <c r="DC190" s="182"/>
      <c r="DE190" s="1" t="s">
        <v>2953</v>
      </c>
      <c r="DF190" s="404">
        <f>IF(DF189&lt;10,DF189,0)</f>
        <v>0</v>
      </c>
      <c r="DG190" s="1" t="s">
        <v>2931</v>
      </c>
      <c r="DH190" s="1">
        <f t="shared" ref="DH190:DH198" si="11">IF(DF191=0,DF190,0)</f>
        <v>0</v>
      </c>
      <c r="DI190" s="1" t="s">
        <v>2954</v>
      </c>
      <c r="DJ190" s="170">
        <f>IF(DH190&gt;0,9,0)</f>
        <v>0</v>
      </c>
      <c r="DK190" s="182"/>
      <c r="DM190" s="2"/>
      <c r="DN190" s="37" t="s">
        <v>3457</v>
      </c>
      <c r="DO190" s="37" t="s">
        <v>3457</v>
      </c>
      <c r="DP190" s="37" t="s">
        <v>1525</v>
      </c>
      <c r="DQ190" s="37" t="s">
        <v>3456</v>
      </c>
      <c r="DR190" s="37" t="s">
        <v>1526</v>
      </c>
      <c r="DS190" s="22"/>
      <c r="DT190" s="6"/>
      <c r="DZ190" s="48"/>
      <c r="EL190" s="3"/>
      <c r="EM190" s="3"/>
      <c r="FK190" s="135"/>
      <c r="FY190" s="2"/>
      <c r="FZ190" s="37" t="s">
        <v>3453</v>
      </c>
      <c r="GA190" s="37" t="s">
        <v>3453</v>
      </c>
      <c r="GB190" s="37" t="s">
        <v>939</v>
      </c>
      <c r="GC190" s="37" t="s">
        <v>3968</v>
      </c>
      <c r="GD190" s="37" t="s">
        <v>3713</v>
      </c>
      <c r="GF190" s="22"/>
      <c r="GL190" s="48"/>
      <c r="HJ190" s="48"/>
      <c r="HK190" s="170"/>
      <c r="HM190" s="423" t="s">
        <v>3973</v>
      </c>
      <c r="HN190" s="175"/>
      <c r="IB190" s="170"/>
      <c r="IG190" s="1"/>
      <c r="IH190" s="1"/>
      <c r="II190" s="1"/>
      <c r="IJ190" s="1"/>
      <c r="IK190" s="1"/>
      <c r="IL190" s="1"/>
      <c r="IM190" s="1"/>
      <c r="IN190" s="1"/>
      <c r="IO190" s="1"/>
      <c r="IP190" s="1"/>
      <c r="IQ190" s="1"/>
      <c r="IR190" s="1"/>
      <c r="IS190" s="1"/>
      <c r="IT190" s="1"/>
      <c r="IU190" s="1"/>
      <c r="IV190" s="1"/>
      <c r="IW190" s="1"/>
      <c r="IX190" s="1"/>
      <c r="IY190" s="1"/>
      <c r="IZ190" s="1"/>
      <c r="JA190" s="1"/>
      <c r="JB190" s="1"/>
      <c r="JC190" s="1"/>
      <c r="JD190" s="135"/>
    </row>
    <row r="191" spans="9:264">
      <c r="I191" s="22"/>
      <c r="J191" s="156" t="s">
        <v>602</v>
      </c>
      <c r="K191" s="156" t="s">
        <v>602</v>
      </c>
      <c r="L191" s="22">
        <v>16</v>
      </c>
      <c r="M191" s="22">
        <v>8</v>
      </c>
      <c r="N191" s="22">
        <v>46.2</v>
      </c>
      <c r="O191" s="22">
        <v>44</v>
      </c>
      <c r="P191" s="22">
        <v>56</v>
      </c>
      <c r="Q191" s="22">
        <v>6</v>
      </c>
      <c r="R191" s="22" t="s">
        <v>603</v>
      </c>
      <c r="S191" s="23" t="s">
        <v>604</v>
      </c>
      <c r="AS191" s="3"/>
      <c r="BD191" s="97"/>
      <c r="CJ191" s="123"/>
      <c r="CR191" s="138"/>
      <c r="CW191" s="170"/>
      <c r="DC191" s="182"/>
      <c r="DD191" s="1" t="s">
        <v>3273</v>
      </c>
      <c r="DE191" s="1" t="s">
        <v>2955</v>
      </c>
      <c r="DF191" s="404">
        <f>IF(DF189&lt;9,DF189,0)</f>
        <v>0</v>
      </c>
      <c r="DG191" s="1" t="s">
        <v>2931</v>
      </c>
      <c r="DH191" s="1">
        <f t="shared" si="11"/>
        <v>0</v>
      </c>
      <c r="DI191" s="1" t="s">
        <v>2956</v>
      </c>
      <c r="DJ191" s="170">
        <f>IF(DH191&gt;0,8,0)</f>
        <v>0</v>
      </c>
      <c r="DK191" s="182"/>
      <c r="DM191" s="2"/>
      <c r="DN191" s="37" t="s">
        <v>1525</v>
      </c>
      <c r="DO191" s="37" t="s">
        <v>1525</v>
      </c>
      <c r="DP191" s="37" t="s">
        <v>1525</v>
      </c>
      <c r="DQ191" s="37" t="s">
        <v>3456</v>
      </c>
      <c r="DR191" s="37" t="s">
        <v>1526</v>
      </c>
      <c r="DS191" s="22"/>
      <c r="DT191" s="6"/>
      <c r="DZ191" s="48"/>
      <c r="EL191" s="3"/>
      <c r="EM191" s="3"/>
      <c r="FK191" s="135"/>
      <c r="FY191" s="2"/>
      <c r="FZ191" s="37" t="s">
        <v>3454</v>
      </c>
      <c r="GA191" s="37" t="s">
        <v>3454</v>
      </c>
      <c r="GB191" s="37" t="s">
        <v>939</v>
      </c>
      <c r="GC191" s="37" t="s">
        <v>3966</v>
      </c>
      <c r="GD191" s="37" t="s">
        <v>3713</v>
      </c>
      <c r="GF191" s="22"/>
      <c r="GL191" s="48"/>
      <c r="HJ191" s="48"/>
      <c r="HK191" s="170"/>
      <c r="HL191" s="175"/>
      <c r="HM191" s="565" t="s">
        <v>3974</v>
      </c>
      <c r="HN191" s="118">
        <f>HN186+HN183+HN178+HN173+HN169+HN188</f>
        <v>0</v>
      </c>
      <c r="HO191" s="175"/>
      <c r="HP191" s="175"/>
      <c r="HQ191" s="175"/>
      <c r="HR191" s="175"/>
      <c r="HS191" s="175"/>
      <c r="HT191" s="175"/>
      <c r="HW191" s="175"/>
      <c r="HX191" s="175"/>
      <c r="HY191" s="175"/>
      <c r="HZ191" s="175"/>
      <c r="IA191" s="175"/>
      <c r="IB191" s="170"/>
      <c r="IG191" s="1"/>
      <c r="IH191" s="1"/>
      <c r="II191" s="1"/>
      <c r="IJ191" s="1"/>
      <c r="IK191" s="1"/>
      <c r="IL191" s="1"/>
      <c r="IM191" s="1"/>
      <c r="IN191" s="1"/>
      <c r="IO191" s="1"/>
      <c r="IP191" s="1"/>
      <c r="IQ191" s="1"/>
      <c r="IR191" s="1"/>
      <c r="IS191" s="1"/>
      <c r="IT191" s="1"/>
      <c r="IU191" s="1"/>
      <c r="IV191" s="1"/>
      <c r="IW191" s="1"/>
      <c r="IX191" s="1"/>
      <c r="IY191" s="1"/>
      <c r="IZ191" s="1"/>
      <c r="JA191" s="1"/>
      <c r="JB191" s="1"/>
      <c r="JC191" s="1"/>
      <c r="JD191" s="135"/>
    </row>
    <row r="192" spans="9:264">
      <c r="I192" s="22"/>
      <c r="J192" s="156" t="s">
        <v>605</v>
      </c>
      <c r="K192" s="156" t="s">
        <v>605</v>
      </c>
      <c r="L192" s="22">
        <v>15</v>
      </c>
      <c r="M192" s="22">
        <v>52</v>
      </c>
      <c r="N192" s="22">
        <v>40.5</v>
      </c>
      <c r="O192" s="22">
        <v>42</v>
      </c>
      <c r="P192" s="22">
        <v>27</v>
      </c>
      <c r="Q192" s="22">
        <v>6</v>
      </c>
      <c r="R192" s="22" t="s">
        <v>606</v>
      </c>
      <c r="S192" s="23" t="s">
        <v>607</v>
      </c>
      <c r="AS192" s="3"/>
      <c r="BD192" s="97"/>
      <c r="CJ192" s="123"/>
      <c r="CR192" s="138"/>
      <c r="CW192" s="170"/>
      <c r="DC192" s="182"/>
      <c r="DE192" s="1" t="s">
        <v>2957</v>
      </c>
      <c r="DF192" s="404">
        <f>IF(DF189&lt;8,DF189,0)</f>
        <v>0</v>
      </c>
      <c r="DG192" s="1" t="s">
        <v>2931</v>
      </c>
      <c r="DH192" s="1">
        <f t="shared" si="11"/>
        <v>0</v>
      </c>
      <c r="DI192" s="1" t="s">
        <v>2958</v>
      </c>
      <c r="DJ192" s="170">
        <f>IF(DH192&gt;0,7,0)</f>
        <v>0</v>
      </c>
      <c r="DK192" s="182"/>
      <c r="DM192" s="2"/>
      <c r="DN192" s="37" t="s">
        <v>3458</v>
      </c>
      <c r="DO192" s="37" t="s">
        <v>3458</v>
      </c>
      <c r="DP192" s="37" t="s">
        <v>3226</v>
      </c>
      <c r="DQ192" s="37" t="s">
        <v>3459</v>
      </c>
      <c r="DR192" s="37" t="s">
        <v>1531</v>
      </c>
      <c r="DS192" s="22"/>
      <c r="DT192" s="6"/>
      <c r="DZ192" s="48"/>
      <c r="EL192" s="3"/>
      <c r="EM192" s="3"/>
      <c r="FK192" s="135"/>
      <c r="FY192" s="2"/>
      <c r="FZ192" s="37" t="s">
        <v>3455</v>
      </c>
      <c r="GA192" s="37" t="s">
        <v>3455</v>
      </c>
      <c r="GB192" s="37" t="s">
        <v>1525</v>
      </c>
      <c r="GC192" s="37" t="s">
        <v>3976</v>
      </c>
      <c r="GD192" s="37" t="s">
        <v>3814</v>
      </c>
      <c r="GF192" s="22"/>
      <c r="GL192" s="48"/>
      <c r="HJ192" s="48"/>
      <c r="HK192" s="170"/>
      <c r="HL192" s="419" t="s">
        <v>2854</v>
      </c>
      <c r="HU192" s="175"/>
      <c r="HV192" s="175"/>
      <c r="IB192" s="170"/>
      <c r="IG192" s="1"/>
      <c r="IH192" s="1"/>
      <c r="II192" s="1"/>
      <c r="IJ192" s="1"/>
      <c r="IK192" s="1"/>
      <c r="IL192" s="1"/>
      <c r="IM192" s="1"/>
      <c r="IN192" s="1"/>
      <c r="IO192" s="1"/>
      <c r="IP192" s="1"/>
      <c r="IQ192" s="1"/>
      <c r="IR192" s="1"/>
      <c r="IS192" s="1"/>
      <c r="IT192" s="1"/>
      <c r="IU192" s="1"/>
      <c r="IV192" s="1"/>
      <c r="IW192" s="1"/>
      <c r="IX192" s="1"/>
      <c r="IY192" s="1"/>
      <c r="IZ192" s="1"/>
      <c r="JA192" s="1"/>
      <c r="JB192" s="1"/>
      <c r="JC192" s="1"/>
      <c r="JD192" s="135"/>
    </row>
    <row r="193" spans="9:264">
      <c r="I193" s="24" t="s">
        <v>608</v>
      </c>
      <c r="J193" s="157" t="s">
        <v>609</v>
      </c>
      <c r="K193" s="157" t="s">
        <v>609</v>
      </c>
      <c r="L193" s="24" t="s">
        <v>39</v>
      </c>
      <c r="M193" s="24" t="s">
        <v>608</v>
      </c>
      <c r="N193" s="24" t="s">
        <v>608</v>
      </c>
      <c r="O193" s="24" t="s">
        <v>40</v>
      </c>
      <c r="P193" s="24" t="s">
        <v>610</v>
      </c>
      <c r="Q193" s="24" t="s">
        <v>611</v>
      </c>
      <c r="R193" s="24" t="s">
        <v>612</v>
      </c>
      <c r="S193" s="24" t="s">
        <v>610</v>
      </c>
      <c r="AS193" s="3"/>
      <c r="BD193" s="97"/>
      <c r="CJ193" s="123"/>
      <c r="CR193" s="138"/>
      <c r="CW193" s="170"/>
      <c r="DC193" s="182"/>
      <c r="DE193" s="1" t="s">
        <v>2959</v>
      </c>
      <c r="DF193" s="404">
        <f>IF(DF189&lt;7,DF189,0)</f>
        <v>0</v>
      </c>
      <c r="DG193" s="1" t="s">
        <v>2931</v>
      </c>
      <c r="DH193" s="1">
        <f t="shared" si="11"/>
        <v>0</v>
      </c>
      <c r="DI193" s="1" t="s">
        <v>2960</v>
      </c>
      <c r="DJ193" s="170">
        <f>IF(DH193&gt;0,6,0)</f>
        <v>0</v>
      </c>
      <c r="DK193" s="182"/>
      <c r="DM193" s="2"/>
      <c r="DN193" s="37" t="s">
        <v>1530</v>
      </c>
      <c r="DO193" s="37" t="s">
        <v>1530</v>
      </c>
      <c r="DP193" s="37" t="s">
        <v>3226</v>
      </c>
      <c r="DQ193" s="37" t="s">
        <v>3459</v>
      </c>
      <c r="DR193" s="37" t="s">
        <v>1531</v>
      </c>
      <c r="DS193" s="22"/>
      <c r="DT193" s="6"/>
      <c r="DZ193" s="48"/>
      <c r="EL193" s="3"/>
      <c r="EM193" s="3"/>
      <c r="FK193" s="135"/>
      <c r="FY193" s="2"/>
      <c r="FZ193" s="37" t="s">
        <v>3225</v>
      </c>
      <c r="GA193" s="37" t="s">
        <v>3225</v>
      </c>
      <c r="GB193" s="37" t="s">
        <v>1525</v>
      </c>
      <c r="GC193" s="37" t="s">
        <v>3977</v>
      </c>
      <c r="GD193" s="37" t="s">
        <v>3814</v>
      </c>
      <c r="GF193" s="22"/>
      <c r="GL193" s="48"/>
      <c r="HJ193" s="48"/>
      <c r="HK193" s="170"/>
      <c r="HL193" s="419">
        <f>FQ52</f>
        <v>0</v>
      </c>
      <c r="HU193" s="175"/>
      <c r="HV193" s="175"/>
      <c r="IB193" s="170"/>
      <c r="IG193" s="1"/>
      <c r="IH193" s="1"/>
      <c r="II193" s="1"/>
      <c r="IJ193" s="1"/>
      <c r="IK193" s="1"/>
      <c r="IL193" s="1"/>
      <c r="IM193" s="1"/>
      <c r="IN193" s="1"/>
      <c r="IO193" s="1"/>
      <c r="IP193" s="1"/>
      <c r="IQ193" s="1"/>
      <c r="IR193" s="1"/>
      <c r="IS193" s="1"/>
      <c r="IT193" s="1"/>
      <c r="IU193" s="1"/>
      <c r="IV193" s="1"/>
      <c r="IW193" s="1"/>
      <c r="IX193" s="1"/>
      <c r="IY193" s="1"/>
      <c r="IZ193" s="1"/>
      <c r="JA193" s="1"/>
      <c r="JB193" s="1"/>
      <c r="JC193" s="1"/>
      <c r="JD193" s="135"/>
    </row>
    <row r="194" spans="9:264">
      <c r="I194" s="22"/>
      <c r="J194" s="156" t="s">
        <v>613</v>
      </c>
      <c r="K194" s="156" t="s">
        <v>613</v>
      </c>
      <c r="L194" s="22">
        <v>5</v>
      </c>
      <c r="M194" s="22">
        <v>7</v>
      </c>
      <c r="N194" s="22">
        <v>51</v>
      </c>
      <c r="O194" s="22">
        <v>-5</v>
      </c>
      <c r="P194" s="22">
        <v>-5</v>
      </c>
      <c r="Q194" s="22">
        <v>-11</v>
      </c>
      <c r="R194" s="22" t="s">
        <v>614</v>
      </c>
      <c r="S194" s="22" t="s">
        <v>615</v>
      </c>
      <c r="AS194" s="3"/>
      <c r="BD194" s="97"/>
      <c r="CJ194" s="123"/>
      <c r="CR194" s="138"/>
      <c r="CW194" s="170"/>
      <c r="DC194" s="182"/>
      <c r="DE194" s="1" t="s">
        <v>2961</v>
      </c>
      <c r="DF194" s="404">
        <f>IF(DF189&lt;6,DF189,0)</f>
        <v>0</v>
      </c>
      <c r="DG194" s="1" t="s">
        <v>2931</v>
      </c>
      <c r="DH194" s="1">
        <f t="shared" si="11"/>
        <v>0</v>
      </c>
      <c r="DI194" s="1" t="s">
        <v>2962</v>
      </c>
      <c r="DJ194" s="170">
        <f>IF(DH194&gt;0,5,0)</f>
        <v>0</v>
      </c>
      <c r="DK194" s="182"/>
      <c r="DM194" s="2"/>
      <c r="DN194" s="37" t="s">
        <v>3460</v>
      </c>
      <c r="DO194" s="37" t="s">
        <v>3460</v>
      </c>
      <c r="DP194" s="37" t="s">
        <v>3226</v>
      </c>
      <c r="DQ194" s="37" t="s">
        <v>3459</v>
      </c>
      <c r="DR194" s="37" t="s">
        <v>1531</v>
      </c>
      <c r="DS194" s="22"/>
      <c r="DT194" s="6"/>
      <c r="DZ194" s="48"/>
      <c r="EL194" s="3"/>
      <c r="EM194" s="3"/>
      <c r="FK194" s="135"/>
      <c r="FY194" s="2"/>
      <c r="FZ194" s="37" t="s">
        <v>3457</v>
      </c>
      <c r="GA194" s="37" t="s">
        <v>3457</v>
      </c>
      <c r="GB194" s="37" t="s">
        <v>1525</v>
      </c>
      <c r="GC194" s="37" t="s">
        <v>3976</v>
      </c>
      <c r="GD194" s="37" t="s">
        <v>3814</v>
      </c>
      <c r="GF194" s="22"/>
      <c r="GL194" s="48"/>
      <c r="HJ194" s="48"/>
      <c r="HK194" s="170"/>
      <c r="HL194" s="419" t="s">
        <v>3975</v>
      </c>
      <c r="HU194" s="175"/>
      <c r="HV194" s="175"/>
      <c r="IB194" s="170"/>
      <c r="IG194" s="1"/>
      <c r="IH194" s="1"/>
      <c r="II194" s="1"/>
      <c r="IJ194" s="1"/>
      <c r="IK194" s="1"/>
      <c r="IL194" s="1"/>
      <c r="IM194" s="1"/>
      <c r="IN194" s="1"/>
      <c r="IO194" s="1"/>
      <c r="IP194" s="1"/>
      <c r="IQ194" s="1"/>
      <c r="IR194" s="1"/>
      <c r="IS194" s="1"/>
      <c r="IT194" s="1"/>
      <c r="IU194" s="1"/>
      <c r="IV194" s="1"/>
      <c r="IW194" s="1"/>
      <c r="IX194" s="1"/>
      <c r="IY194" s="1"/>
      <c r="IZ194" s="1"/>
      <c r="JA194" s="1"/>
      <c r="JB194" s="1"/>
      <c r="JC194" s="1"/>
      <c r="JD194" s="135"/>
    </row>
    <row r="195" spans="9:264">
      <c r="I195" s="22"/>
      <c r="J195" s="156" t="s">
        <v>616</v>
      </c>
      <c r="K195" s="156" t="s">
        <v>616</v>
      </c>
      <c r="L195" s="22">
        <v>3</v>
      </c>
      <c r="M195" s="22">
        <v>58</v>
      </c>
      <c r="N195" s="22">
        <v>1.8</v>
      </c>
      <c r="O195" s="22">
        <v>-13</v>
      </c>
      <c r="P195" s="22">
        <v>-30</v>
      </c>
      <c r="Q195" s="22">
        <v>-31</v>
      </c>
      <c r="R195" s="22" t="s">
        <v>617</v>
      </c>
      <c r="S195" s="22" t="s">
        <v>618</v>
      </c>
      <c r="AS195" s="3"/>
      <c r="BD195" s="97"/>
      <c r="CJ195" s="123"/>
      <c r="CR195" s="138"/>
      <c r="CW195" s="170"/>
      <c r="DC195" s="182"/>
      <c r="DE195" s="1" t="s">
        <v>2963</v>
      </c>
      <c r="DF195" s="404">
        <f>IF(DF189&lt;5,DF189,0)</f>
        <v>0</v>
      </c>
      <c r="DG195" s="1" t="s">
        <v>2931</v>
      </c>
      <c r="DH195" s="1">
        <f t="shared" si="11"/>
        <v>0</v>
      </c>
      <c r="DI195" s="1" t="s">
        <v>2964</v>
      </c>
      <c r="DJ195" s="170">
        <f>IF(DH195&gt;0,4,0)</f>
        <v>0</v>
      </c>
      <c r="DK195" s="182"/>
      <c r="DM195" s="2"/>
      <c r="DN195" s="37" t="s">
        <v>3226</v>
      </c>
      <c r="DO195" s="37" t="s">
        <v>3226</v>
      </c>
      <c r="DP195" s="37" t="s">
        <v>3226</v>
      </c>
      <c r="DQ195" s="37" t="s">
        <v>3459</v>
      </c>
      <c r="DR195" s="37" t="s">
        <v>1531</v>
      </c>
      <c r="DS195" s="22"/>
      <c r="DT195" s="6"/>
      <c r="DZ195" s="48"/>
      <c r="EL195" s="3"/>
      <c r="EM195" s="3"/>
      <c r="FK195" s="135"/>
      <c r="FY195" s="2"/>
      <c r="FZ195" s="37" t="s">
        <v>1525</v>
      </c>
      <c r="GA195" s="37" t="s">
        <v>1525</v>
      </c>
      <c r="GB195" s="37" t="s">
        <v>1525</v>
      </c>
      <c r="GC195" s="37" t="s">
        <v>3976</v>
      </c>
      <c r="GD195" s="37" t="s">
        <v>3814</v>
      </c>
      <c r="GF195" s="22"/>
      <c r="GL195" s="48"/>
      <c r="HJ195" s="48"/>
      <c r="HK195" s="170"/>
      <c r="HL195" s="529">
        <f>HY17</f>
        <v>0</v>
      </c>
      <c r="HM195" s="175"/>
      <c r="HN195" s="175"/>
      <c r="HU195" s="175"/>
      <c r="HV195" s="175"/>
      <c r="IB195" s="170"/>
      <c r="IG195" s="1"/>
      <c r="IH195" s="1"/>
      <c r="II195" s="1"/>
      <c r="IJ195" s="1"/>
      <c r="IK195" s="1"/>
      <c r="IL195" s="1"/>
      <c r="IM195" s="1"/>
      <c r="IN195" s="1"/>
      <c r="IO195" s="1"/>
      <c r="IP195" s="1"/>
      <c r="IQ195" s="1"/>
      <c r="IR195" s="1"/>
      <c r="IS195" s="1"/>
      <c r="IT195" s="1"/>
      <c r="IU195" s="1"/>
      <c r="IV195" s="1"/>
      <c r="IW195" s="1"/>
      <c r="IX195" s="1"/>
      <c r="IY195" s="1"/>
      <c r="IZ195" s="1"/>
      <c r="JA195" s="1"/>
      <c r="JB195" s="1"/>
      <c r="JC195" s="1"/>
      <c r="JD195" s="135"/>
    </row>
    <row r="196" spans="9:264">
      <c r="I196" s="22"/>
      <c r="J196" s="156" t="s">
        <v>619</v>
      </c>
      <c r="K196" s="156" t="s">
        <v>619</v>
      </c>
      <c r="L196" s="22">
        <v>3</v>
      </c>
      <c r="M196" s="22">
        <v>43</v>
      </c>
      <c r="N196" s="22">
        <v>14.9</v>
      </c>
      <c r="O196" s="22">
        <v>-9</v>
      </c>
      <c r="P196" s="22">
        <v>-45</v>
      </c>
      <c r="Q196" s="22">
        <v>-48</v>
      </c>
      <c r="R196" s="22" t="s">
        <v>620</v>
      </c>
      <c r="S196" s="22" t="s">
        <v>621</v>
      </c>
      <c r="AS196" s="3"/>
      <c r="BD196" s="97"/>
      <c r="CJ196" s="123"/>
      <c r="CR196" s="138"/>
      <c r="CW196" s="170"/>
      <c r="DC196" s="182"/>
      <c r="DE196" s="1" t="s">
        <v>2965</v>
      </c>
      <c r="DF196" s="404">
        <f>IF(DF189&lt;4,DF189,0)</f>
        <v>0</v>
      </c>
      <c r="DG196" s="1" t="s">
        <v>2931</v>
      </c>
      <c r="DH196" s="1">
        <f t="shared" si="11"/>
        <v>0</v>
      </c>
      <c r="DI196" s="1" t="s">
        <v>2966</v>
      </c>
      <c r="DJ196" s="170">
        <f>IF(DH196&gt;0,3,0)</f>
        <v>0</v>
      </c>
      <c r="DK196" s="182"/>
      <c r="DM196" s="2"/>
      <c r="DN196" s="37" t="s">
        <v>3461</v>
      </c>
      <c r="DO196" s="37" t="s">
        <v>3461</v>
      </c>
      <c r="DP196" s="37" t="s">
        <v>721</v>
      </c>
      <c r="DQ196" s="37" t="s">
        <v>3462</v>
      </c>
      <c r="DR196" s="37" t="s">
        <v>722</v>
      </c>
      <c r="DS196" s="22"/>
      <c r="DT196" s="6"/>
      <c r="DZ196" s="48"/>
      <c r="EL196" s="3"/>
      <c r="EM196" s="3"/>
      <c r="FK196" s="135"/>
      <c r="FY196" s="2"/>
      <c r="FZ196" s="37" t="s">
        <v>3458</v>
      </c>
      <c r="GA196" s="37" t="s">
        <v>3458</v>
      </c>
      <c r="GB196" s="37" t="s">
        <v>3226</v>
      </c>
      <c r="GC196" s="37" t="s">
        <v>3978</v>
      </c>
      <c r="GD196" s="37" t="s">
        <v>1533</v>
      </c>
      <c r="GF196" s="22"/>
      <c r="GL196" s="48"/>
      <c r="HJ196" s="48"/>
      <c r="HK196" s="170"/>
      <c r="HL196" s="170"/>
      <c r="HM196" s="170"/>
      <c r="HN196" s="170"/>
      <c r="HO196" s="170"/>
      <c r="HP196" s="170"/>
      <c r="HQ196" s="170"/>
      <c r="HR196" s="170"/>
      <c r="HS196" s="170"/>
      <c r="HT196" s="170"/>
      <c r="HU196" s="170"/>
      <c r="HV196" s="170"/>
      <c r="HW196" s="170"/>
      <c r="HX196" s="170"/>
      <c r="HY196" s="170"/>
      <c r="HZ196" s="170"/>
      <c r="IA196" s="170"/>
      <c r="IB196" s="170"/>
      <c r="IG196" s="1"/>
      <c r="IH196" s="1"/>
      <c r="II196" s="1"/>
      <c r="IJ196" s="1"/>
      <c r="IK196" s="1"/>
      <c r="IL196" s="1"/>
      <c r="IM196" s="1"/>
      <c r="IN196" s="1"/>
      <c r="IO196" s="1"/>
      <c r="IP196" s="1"/>
      <c r="IQ196" s="1"/>
      <c r="IR196" s="1"/>
      <c r="IS196" s="1"/>
      <c r="IT196" s="1"/>
      <c r="IU196" s="1"/>
      <c r="IV196" s="1"/>
      <c r="IW196" s="1"/>
      <c r="IX196" s="1"/>
      <c r="IY196" s="1"/>
      <c r="IZ196" s="1"/>
      <c r="JA196" s="1"/>
      <c r="JB196" s="1"/>
      <c r="JC196" s="1"/>
      <c r="JD196" s="135"/>
    </row>
    <row r="197" spans="9:264">
      <c r="I197" s="22"/>
      <c r="J197" s="156" t="s">
        <v>622</v>
      </c>
      <c r="K197" s="156" t="s">
        <v>622</v>
      </c>
      <c r="L197" s="22">
        <v>3</v>
      </c>
      <c r="M197" s="22">
        <v>32</v>
      </c>
      <c r="N197" s="22">
        <v>55.8</v>
      </c>
      <c r="O197" s="22">
        <v>-9</v>
      </c>
      <c r="P197" s="22">
        <v>-27</v>
      </c>
      <c r="Q197" s="22">
        <v>-30</v>
      </c>
      <c r="R197" s="22" t="s">
        <v>623</v>
      </c>
      <c r="S197" s="22" t="s">
        <v>624</v>
      </c>
      <c r="AS197" s="3"/>
      <c r="BD197" s="97"/>
      <c r="CJ197" s="123"/>
      <c r="CR197" s="138"/>
      <c r="CW197" s="170"/>
      <c r="DC197" s="182"/>
      <c r="DE197" s="1" t="s">
        <v>2967</v>
      </c>
      <c r="DF197" s="404">
        <f>IF(DF189&lt;3,DF189,0)</f>
        <v>0</v>
      </c>
      <c r="DG197" s="1" t="s">
        <v>2931</v>
      </c>
      <c r="DH197" s="1">
        <f t="shared" si="11"/>
        <v>0</v>
      </c>
      <c r="DI197" s="1" t="s">
        <v>2968</v>
      </c>
      <c r="DJ197" s="170">
        <f>IF(DH197&gt;0,2,0)</f>
        <v>0</v>
      </c>
      <c r="DK197" s="182"/>
      <c r="DM197" s="2"/>
      <c r="DN197" s="37" t="s">
        <v>3463</v>
      </c>
      <c r="DO197" s="37" t="s">
        <v>3463</v>
      </c>
      <c r="DP197" s="37" t="s">
        <v>721</v>
      </c>
      <c r="DQ197" s="37" t="s">
        <v>3462</v>
      </c>
      <c r="DR197" s="37" t="s">
        <v>722</v>
      </c>
      <c r="DS197" s="22"/>
      <c r="DT197" s="6"/>
      <c r="DZ197" s="48"/>
      <c r="EL197" s="3"/>
      <c r="EM197" s="3"/>
      <c r="FK197" s="135"/>
      <c r="FY197" s="2"/>
      <c r="FZ197" s="37" t="s">
        <v>1530</v>
      </c>
      <c r="GA197" s="37" t="s">
        <v>1530</v>
      </c>
      <c r="GB197" s="37" t="s">
        <v>3226</v>
      </c>
      <c r="GC197" s="37" t="s">
        <v>3978</v>
      </c>
      <c r="GD197" s="37" t="s">
        <v>1533</v>
      </c>
      <c r="GF197" s="22"/>
      <c r="GL197" s="48"/>
      <c r="HJ197" s="48"/>
      <c r="IG197" s="1"/>
      <c r="IH197" s="1"/>
      <c r="II197" s="1"/>
      <c r="IJ197" s="1"/>
      <c r="IK197" s="1"/>
      <c r="IL197" s="1"/>
      <c r="IM197" s="1"/>
      <c r="IN197" s="1"/>
      <c r="IO197" s="1"/>
      <c r="IP197" s="1"/>
      <c r="IQ197" s="1"/>
      <c r="IR197" s="1"/>
      <c r="IS197" s="1"/>
      <c r="IT197" s="1"/>
      <c r="IU197" s="1"/>
      <c r="IV197" s="1"/>
      <c r="IW197" s="1"/>
      <c r="IX197" s="1"/>
      <c r="IY197" s="1"/>
      <c r="IZ197" s="1"/>
      <c r="JA197" s="1"/>
      <c r="JB197" s="1"/>
      <c r="JC197" s="1"/>
      <c r="JD197" s="135"/>
    </row>
    <row r="198" spans="9:264">
      <c r="I198" s="22"/>
      <c r="J198" s="156" t="s">
        <v>625</v>
      </c>
      <c r="K198" s="156" t="s">
        <v>625</v>
      </c>
      <c r="L198" s="22">
        <v>3</v>
      </c>
      <c r="M198" s="22">
        <v>15</v>
      </c>
      <c r="N198" s="22">
        <v>50</v>
      </c>
      <c r="O198" s="22">
        <v>-8</v>
      </c>
      <c r="P198" s="22">
        <v>-49</v>
      </c>
      <c r="Q198" s="22">
        <v>-11</v>
      </c>
      <c r="R198" s="22" t="s">
        <v>626</v>
      </c>
      <c r="S198" s="22" t="s">
        <v>627</v>
      </c>
      <c r="AS198" s="3"/>
      <c r="BD198" s="97"/>
      <c r="CJ198" s="123"/>
      <c r="CR198" s="138"/>
      <c r="CW198" s="170"/>
      <c r="DC198" s="182"/>
      <c r="DE198" s="1" t="s">
        <v>2969</v>
      </c>
      <c r="DF198" s="404">
        <f>IF(DF189&lt;2,DF189,0)</f>
        <v>0</v>
      </c>
      <c r="DG198" s="1" t="s">
        <v>2931</v>
      </c>
      <c r="DH198" s="1">
        <f t="shared" si="11"/>
        <v>0</v>
      </c>
      <c r="DI198" s="1" t="s">
        <v>2970</v>
      </c>
      <c r="DJ198" s="170">
        <f>IF(DH198&gt;0,1,0)</f>
        <v>0</v>
      </c>
      <c r="DK198" s="182"/>
      <c r="DM198" s="2"/>
      <c r="DN198" s="37" t="s">
        <v>3464</v>
      </c>
      <c r="DO198" s="37" t="s">
        <v>3464</v>
      </c>
      <c r="DP198" s="37" t="s">
        <v>721</v>
      </c>
      <c r="DQ198" s="37" t="s">
        <v>3462</v>
      </c>
      <c r="DR198" s="37" t="s">
        <v>722</v>
      </c>
      <c r="DS198" s="22"/>
      <c r="DT198" s="6"/>
      <c r="DZ198" s="48"/>
      <c r="EL198" s="3"/>
      <c r="EM198" s="3"/>
      <c r="FK198" s="135"/>
      <c r="FY198" s="2"/>
      <c r="FZ198" s="37" t="s">
        <v>3460</v>
      </c>
      <c r="GA198" s="37" t="s">
        <v>3460</v>
      </c>
      <c r="GB198" s="37" t="s">
        <v>3226</v>
      </c>
      <c r="GC198" s="37" t="s">
        <v>3978</v>
      </c>
      <c r="GD198" s="37" t="s">
        <v>1533</v>
      </c>
      <c r="GF198" s="22"/>
      <c r="GL198" s="48"/>
      <c r="HJ198" s="48"/>
      <c r="IG198" s="1"/>
      <c r="IH198" s="1"/>
      <c r="II198" s="1"/>
      <c r="IJ198" s="1"/>
      <c r="IK198" s="1"/>
      <c r="IL198" s="1"/>
      <c r="IM198" s="1"/>
      <c r="IN198" s="1"/>
      <c r="IO198" s="1"/>
      <c r="IP198" s="1"/>
      <c r="IQ198" s="1"/>
      <c r="IR198" s="1"/>
      <c r="IS198" s="1"/>
      <c r="IT198" s="1"/>
      <c r="IU198" s="1"/>
      <c r="IV198" s="1"/>
      <c r="IW198" s="1"/>
      <c r="IX198" s="1"/>
      <c r="IY198" s="1"/>
      <c r="IZ198" s="1"/>
      <c r="JA198" s="1"/>
      <c r="JB198" s="1"/>
      <c r="JC198" s="1"/>
      <c r="JD198" s="135"/>
    </row>
    <row r="199" spans="9:264">
      <c r="I199" s="22"/>
      <c r="J199" s="156" t="s">
        <v>628</v>
      </c>
      <c r="K199" s="156" t="s">
        <v>628</v>
      </c>
      <c r="L199" s="22">
        <v>2</v>
      </c>
      <c r="M199" s="22">
        <v>56</v>
      </c>
      <c r="N199" s="22">
        <v>25.6</v>
      </c>
      <c r="O199" s="22">
        <v>-8</v>
      </c>
      <c r="P199" s="22">
        <v>-53</v>
      </c>
      <c r="Q199" s="22">
        <v>-53</v>
      </c>
      <c r="R199" s="22" t="s">
        <v>629</v>
      </c>
      <c r="S199" s="22" t="s">
        <v>630</v>
      </c>
      <c r="AI199" s="5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BD199" s="97"/>
      <c r="CJ199" s="123"/>
      <c r="CR199" s="138"/>
      <c r="CW199" s="170"/>
      <c r="DC199" s="182"/>
      <c r="DE199" s="1" t="s">
        <v>2971</v>
      </c>
      <c r="DF199" s="404">
        <f>IF(DF189&lt;1,DF189,0)</f>
        <v>0</v>
      </c>
      <c r="DG199" s="1" t="s">
        <v>2972</v>
      </c>
      <c r="DH199" s="406">
        <f>DF189-DJ199</f>
        <v>0</v>
      </c>
      <c r="DI199" s="1" t="s">
        <v>2973</v>
      </c>
      <c r="DJ199" s="406">
        <f>DJ190+DJ191+DJ192+DJ193+DJ194+DJ195+DJ196+DJ197+DJ198</f>
        <v>0</v>
      </c>
      <c r="DK199" s="182"/>
      <c r="DM199" s="2"/>
      <c r="DN199" s="37" t="s">
        <v>721</v>
      </c>
      <c r="DO199" s="37" t="s">
        <v>721</v>
      </c>
      <c r="DP199" s="37" t="s">
        <v>721</v>
      </c>
      <c r="DQ199" s="37" t="s">
        <v>3462</v>
      </c>
      <c r="DR199" s="37" t="s">
        <v>722</v>
      </c>
      <c r="DS199" s="22"/>
      <c r="DT199" s="6"/>
      <c r="DZ199" s="48"/>
      <c r="EL199" s="3"/>
      <c r="EM199" s="3"/>
      <c r="FK199" s="135"/>
      <c r="FY199" s="2"/>
      <c r="FZ199" s="37" t="s">
        <v>3226</v>
      </c>
      <c r="GA199" s="37" t="s">
        <v>3226</v>
      </c>
      <c r="GB199" s="37" t="s">
        <v>3226</v>
      </c>
      <c r="GC199" s="37" t="s">
        <v>3978</v>
      </c>
      <c r="GD199" s="37" t="s">
        <v>1533</v>
      </c>
      <c r="GF199" s="22"/>
      <c r="GL199" s="48"/>
      <c r="HJ199" s="48"/>
      <c r="IG199" s="1"/>
      <c r="IH199" s="1"/>
      <c r="II199" s="1"/>
      <c r="IJ199" s="1"/>
      <c r="IK199" s="1"/>
      <c r="IL199" s="1"/>
      <c r="IM199" s="1"/>
      <c r="IN199" s="1"/>
      <c r="IO199" s="1"/>
      <c r="IP199" s="1"/>
      <c r="IQ199" s="1"/>
      <c r="IR199" s="1"/>
      <c r="IS199" s="1"/>
      <c r="IT199" s="1"/>
      <c r="IU199" s="1"/>
      <c r="IV199" s="1"/>
      <c r="IW199" s="1"/>
      <c r="IX199" s="1"/>
      <c r="IY199" s="1"/>
      <c r="IZ199" s="1"/>
      <c r="JA199" s="1"/>
      <c r="JB199" s="1"/>
      <c r="JC199" s="1"/>
      <c r="JD199" s="135"/>
    </row>
    <row r="200" spans="9:264">
      <c r="I200" s="22"/>
      <c r="J200" s="156" t="s">
        <v>631</v>
      </c>
      <c r="K200" s="156" t="s">
        <v>631</v>
      </c>
      <c r="L200" s="22">
        <v>4</v>
      </c>
      <c r="M200" s="22">
        <v>45</v>
      </c>
      <c r="N200" s="22">
        <v>30.1</v>
      </c>
      <c r="O200" s="22">
        <v>-3</v>
      </c>
      <c r="P200" s="22">
        <v>-15</v>
      </c>
      <c r="Q200" s="22">
        <v>-17</v>
      </c>
      <c r="R200" s="22" t="s">
        <v>632</v>
      </c>
      <c r="S200" s="22" t="s">
        <v>633</v>
      </c>
      <c r="AS200" s="3"/>
      <c r="BD200" s="97"/>
      <c r="CJ200" s="123"/>
      <c r="CR200" s="138"/>
      <c r="CW200" s="170"/>
      <c r="DC200" s="182"/>
      <c r="DK200" s="182"/>
      <c r="DM200" s="2"/>
      <c r="DN200" s="37" t="s">
        <v>3465</v>
      </c>
      <c r="DO200" s="37" t="s">
        <v>3465</v>
      </c>
      <c r="DP200" s="37" t="s">
        <v>3227</v>
      </c>
      <c r="DQ200" s="37" t="s">
        <v>3577</v>
      </c>
      <c r="DR200" s="37" t="s">
        <v>2507</v>
      </c>
      <c r="DS200" s="22"/>
      <c r="DT200" s="6"/>
      <c r="DZ200" s="48"/>
      <c r="EL200" s="3"/>
      <c r="EM200" s="3"/>
      <c r="FK200" s="135"/>
      <c r="FY200" s="2"/>
      <c r="FZ200" s="37" t="s">
        <v>3461</v>
      </c>
      <c r="GA200" s="37" t="s">
        <v>3461</v>
      </c>
      <c r="GB200" s="37" t="s">
        <v>721</v>
      </c>
      <c r="GC200" s="37" t="s">
        <v>3979</v>
      </c>
      <c r="GD200" s="37" t="s">
        <v>726</v>
      </c>
      <c r="GF200" s="22"/>
      <c r="GL200" s="48"/>
      <c r="HJ200" s="48"/>
      <c r="IG200" s="1"/>
      <c r="IH200" s="1"/>
      <c r="II200" s="1"/>
      <c r="IJ200" s="1"/>
      <c r="IK200" s="1"/>
      <c r="IL200" s="1"/>
      <c r="IM200" s="1"/>
      <c r="IN200" s="1"/>
      <c r="IO200" s="1"/>
      <c r="IP200" s="1"/>
      <c r="IQ200" s="1"/>
      <c r="IR200" s="1"/>
      <c r="IS200" s="1"/>
      <c r="IT200" s="1"/>
      <c r="IU200" s="1"/>
      <c r="IV200" s="1"/>
      <c r="IW200" s="1"/>
      <c r="IX200" s="1"/>
      <c r="IY200" s="1"/>
      <c r="IZ200" s="1"/>
      <c r="JA200" s="1"/>
      <c r="JB200" s="1"/>
      <c r="JC200" s="1"/>
      <c r="JD200" s="135"/>
    </row>
    <row r="201" spans="9:264">
      <c r="I201" s="22"/>
      <c r="J201" s="156" t="s">
        <v>634</v>
      </c>
      <c r="K201" s="156" t="s">
        <v>634</v>
      </c>
      <c r="L201" s="22">
        <v>4</v>
      </c>
      <c r="M201" s="22">
        <v>36</v>
      </c>
      <c r="N201" s="22">
        <v>19.100000000000001</v>
      </c>
      <c r="O201" s="22">
        <v>-3</v>
      </c>
      <c r="P201" s="22">
        <v>-21</v>
      </c>
      <c r="Q201" s="22">
        <v>-9</v>
      </c>
      <c r="R201" s="22" t="s">
        <v>635</v>
      </c>
      <c r="S201" s="22" t="s">
        <v>636</v>
      </c>
      <c r="AS201" s="3"/>
      <c r="BD201" s="97"/>
      <c r="CJ201" s="123"/>
      <c r="CR201" s="138"/>
      <c r="CW201" s="170"/>
      <c r="DC201" s="182"/>
      <c r="DE201" s="196" t="s">
        <v>2974</v>
      </c>
      <c r="DF201" s="197"/>
      <c r="DG201" s="108" t="s">
        <v>2975</v>
      </c>
      <c r="DI201" s="108" t="s">
        <v>2976</v>
      </c>
      <c r="DK201" s="182"/>
      <c r="DM201" s="2"/>
      <c r="DN201" s="37" t="s">
        <v>3466</v>
      </c>
      <c r="DO201" s="37" t="s">
        <v>3466</v>
      </c>
      <c r="DP201" s="37" t="s">
        <v>3227</v>
      </c>
      <c r="DQ201" s="37" t="s">
        <v>3577</v>
      </c>
      <c r="DR201" s="37" t="s">
        <v>2507</v>
      </c>
      <c r="DS201" s="22"/>
      <c r="DT201" s="6"/>
      <c r="DZ201" s="48"/>
      <c r="EL201" s="3"/>
      <c r="EM201" s="3"/>
      <c r="FK201" s="135"/>
      <c r="FY201" s="2"/>
      <c r="FZ201" s="37" t="s">
        <v>3463</v>
      </c>
      <c r="GA201" s="37" t="s">
        <v>3463</v>
      </c>
      <c r="GB201" s="37" t="s">
        <v>721</v>
      </c>
      <c r="GC201" s="37" t="s">
        <v>3979</v>
      </c>
      <c r="GD201" s="37" t="s">
        <v>726</v>
      </c>
      <c r="GF201" s="22"/>
      <c r="GL201" s="48"/>
      <c r="HJ201" s="48"/>
      <c r="IG201" s="1"/>
      <c r="IH201" s="1"/>
      <c r="II201" s="1"/>
      <c r="IJ201" s="1"/>
      <c r="IK201" s="1"/>
      <c r="IL201" s="1"/>
      <c r="IM201" s="1"/>
      <c r="IN201" s="1"/>
      <c r="IO201" s="1"/>
      <c r="IP201" s="1"/>
      <c r="IQ201" s="1"/>
      <c r="IR201" s="1"/>
      <c r="IS201" s="1"/>
      <c r="IT201" s="1"/>
      <c r="IU201" s="1"/>
      <c r="IV201" s="1"/>
      <c r="IW201" s="1"/>
      <c r="IX201" s="1"/>
      <c r="IY201" s="1"/>
      <c r="IZ201" s="1"/>
      <c r="JA201" s="1"/>
      <c r="JB201" s="1"/>
      <c r="JC201" s="1"/>
      <c r="JD201" s="135"/>
    </row>
    <row r="202" spans="9:264">
      <c r="I202" s="22"/>
      <c r="J202" s="156" t="s">
        <v>637</v>
      </c>
      <c r="K202" s="156" t="s">
        <v>637</v>
      </c>
      <c r="L202" s="22">
        <v>4</v>
      </c>
      <c r="M202" s="22">
        <v>11</v>
      </c>
      <c r="N202" s="22">
        <v>51.9</v>
      </c>
      <c r="O202" s="22">
        <v>-6</v>
      </c>
      <c r="P202" s="22">
        <v>-50</v>
      </c>
      <c r="Q202" s="22">
        <v>-15</v>
      </c>
      <c r="R202" s="22" t="s">
        <v>638</v>
      </c>
      <c r="S202" s="22" t="s">
        <v>639</v>
      </c>
      <c r="AS202" s="3"/>
      <c r="BD202" s="97"/>
      <c r="CJ202" s="123"/>
      <c r="CR202" s="138"/>
      <c r="CW202" s="170"/>
      <c r="DC202" s="182"/>
      <c r="DE202" s="6" t="s">
        <v>2977</v>
      </c>
      <c r="DF202" s="6"/>
      <c r="DG202" s="108" t="s">
        <v>2981</v>
      </c>
      <c r="DI202" s="1" t="s">
        <v>3274</v>
      </c>
      <c r="DJ202" s="406">
        <f>60*DH211</f>
        <v>0</v>
      </c>
      <c r="DK202" s="182"/>
      <c r="DM202" s="2"/>
      <c r="DN202" s="37" t="s">
        <v>3467</v>
      </c>
      <c r="DO202" s="37" t="s">
        <v>3467</v>
      </c>
      <c r="DP202" s="37" t="s">
        <v>3227</v>
      </c>
      <c r="DQ202" s="37" t="s">
        <v>3577</v>
      </c>
      <c r="DR202" s="37" t="s">
        <v>2507</v>
      </c>
      <c r="DS202" s="22"/>
      <c r="DT202" s="6"/>
      <c r="DZ202" s="48"/>
      <c r="EL202" s="3"/>
      <c r="EM202" s="3"/>
      <c r="FK202" s="135"/>
      <c r="FY202" s="2"/>
      <c r="FZ202" s="37" t="s">
        <v>3464</v>
      </c>
      <c r="GA202" s="37" t="s">
        <v>3464</v>
      </c>
      <c r="GB202" s="37" t="s">
        <v>721</v>
      </c>
      <c r="GC202" s="37" t="s">
        <v>3980</v>
      </c>
      <c r="GD202" s="37" t="s">
        <v>726</v>
      </c>
      <c r="GF202" s="22"/>
      <c r="GL202" s="48"/>
      <c r="HJ202" s="48"/>
      <c r="IG202" s="1"/>
      <c r="IH202" s="1"/>
      <c r="II202" s="1"/>
      <c r="IJ202" s="1"/>
      <c r="IK202" s="1"/>
      <c r="IL202" s="1"/>
      <c r="IM202" s="1"/>
      <c r="IN202" s="1"/>
      <c r="IO202" s="1"/>
      <c r="IP202" s="1"/>
      <c r="IQ202" s="1"/>
      <c r="IR202" s="1"/>
      <c r="IS202" s="1"/>
      <c r="IT202" s="1"/>
      <c r="IU202" s="1"/>
      <c r="IV202" s="1"/>
      <c r="IW202" s="1"/>
      <c r="IX202" s="1"/>
      <c r="IY202" s="1"/>
      <c r="IZ202" s="1"/>
      <c r="JA202" s="1"/>
      <c r="JB202" s="1"/>
      <c r="JC202" s="1"/>
      <c r="JD202" s="135"/>
    </row>
    <row r="203" spans="9:264">
      <c r="I203" s="22"/>
      <c r="J203" s="156" t="s">
        <v>640</v>
      </c>
      <c r="K203" s="156" t="s">
        <v>640</v>
      </c>
      <c r="L203" s="22">
        <v>3</v>
      </c>
      <c r="M203" s="22">
        <v>46</v>
      </c>
      <c r="N203" s="22">
        <v>8.5</v>
      </c>
      <c r="O203" s="22">
        <v>-12</v>
      </c>
      <c r="P203" s="22">
        <v>-6</v>
      </c>
      <c r="Q203" s="22">
        <v>-6</v>
      </c>
      <c r="R203" s="22" t="s">
        <v>641</v>
      </c>
      <c r="S203" s="22" t="s">
        <v>642</v>
      </c>
      <c r="AS203" s="3"/>
      <c r="BD203" s="97"/>
      <c r="CJ203" s="123"/>
      <c r="CR203" s="138"/>
      <c r="CW203" s="170"/>
      <c r="DC203" s="182"/>
      <c r="DE203" s="6" t="s">
        <v>2978</v>
      </c>
      <c r="DF203" s="128"/>
      <c r="DG203" s="1" t="s">
        <v>3006</v>
      </c>
      <c r="DH203" s="1">
        <f>DF213-DH199</f>
        <v>0</v>
      </c>
      <c r="DI203" s="1" t="s">
        <v>2979</v>
      </c>
      <c r="DK203" s="182"/>
      <c r="DM203" s="2"/>
      <c r="DN203" s="37" t="s">
        <v>3227</v>
      </c>
      <c r="DO203" s="37" t="s">
        <v>3227</v>
      </c>
      <c r="DP203" s="37" t="s">
        <v>3227</v>
      </c>
      <c r="DQ203" s="37" t="s">
        <v>3577</v>
      </c>
      <c r="DR203" s="37" t="s">
        <v>2507</v>
      </c>
      <c r="DS203" s="22"/>
      <c r="DT203" s="6"/>
      <c r="DZ203" s="48"/>
      <c r="EL203" s="3"/>
      <c r="EM203" s="3"/>
      <c r="FK203" s="135"/>
      <c r="FY203" s="2"/>
      <c r="FZ203" s="37" t="s">
        <v>721</v>
      </c>
      <c r="GA203" s="37" t="s">
        <v>721</v>
      </c>
      <c r="GB203" s="37" t="s">
        <v>721</v>
      </c>
      <c r="GC203" s="37" t="s">
        <v>3979</v>
      </c>
      <c r="GD203" s="37" t="s">
        <v>726</v>
      </c>
      <c r="GF203" s="22"/>
      <c r="GL203" s="48"/>
      <c r="HJ203" s="48"/>
      <c r="IG203" s="1"/>
      <c r="IH203" s="1"/>
      <c r="II203" s="1"/>
      <c r="IJ203" s="1"/>
      <c r="IK203" s="1"/>
      <c r="IL203" s="1"/>
      <c r="IM203" s="1"/>
      <c r="IN203" s="1"/>
      <c r="IO203" s="1"/>
      <c r="IP203" s="1"/>
      <c r="IQ203" s="1"/>
      <c r="IR203" s="1"/>
      <c r="IS203" s="1"/>
      <c r="IT203" s="1"/>
      <c r="IU203" s="1"/>
      <c r="IV203" s="1"/>
      <c r="IW203" s="1"/>
      <c r="IX203" s="1"/>
      <c r="IY203" s="1"/>
      <c r="IZ203" s="1"/>
      <c r="JA203" s="1"/>
      <c r="JB203" s="1"/>
      <c r="JC203" s="1"/>
      <c r="JD203" s="135"/>
    </row>
    <row r="204" spans="9:264">
      <c r="I204" s="22"/>
      <c r="J204" s="156" t="s">
        <v>643</v>
      </c>
      <c r="K204" s="156" t="s">
        <v>643</v>
      </c>
      <c r="L204" s="22">
        <v>2</v>
      </c>
      <c r="M204" s="22">
        <v>45</v>
      </c>
      <c r="N204" s="22">
        <v>6.2</v>
      </c>
      <c r="O204" s="22">
        <v>-18</v>
      </c>
      <c r="P204" s="22">
        <v>-34</v>
      </c>
      <c r="Q204" s="22">
        <v>-21</v>
      </c>
      <c r="R204" s="22" t="s">
        <v>644</v>
      </c>
      <c r="S204" s="22" t="s">
        <v>645</v>
      </c>
      <c r="AS204" s="3"/>
      <c r="BD204" s="97"/>
      <c r="CJ204" s="123"/>
      <c r="CR204" s="138"/>
      <c r="CW204" s="170"/>
      <c r="DC204" s="182"/>
      <c r="DE204" s="168" t="s">
        <v>2980</v>
      </c>
      <c r="DF204" s="65">
        <f>DD242</f>
        <v>0</v>
      </c>
      <c r="DG204" s="1" t="s">
        <v>2986</v>
      </c>
      <c r="DH204" s="1">
        <f>IF(DF208=1,DH203,0)</f>
        <v>0</v>
      </c>
      <c r="DI204" s="1" t="s">
        <v>2982</v>
      </c>
      <c r="DK204" s="182"/>
      <c r="DM204" s="2"/>
      <c r="DN204" s="37" t="s">
        <v>3468</v>
      </c>
      <c r="DO204" s="37" t="s">
        <v>3468</v>
      </c>
      <c r="DP204" s="37" t="s">
        <v>2190</v>
      </c>
      <c r="DQ204" s="37" t="s">
        <v>3469</v>
      </c>
      <c r="DR204" s="37" t="s">
        <v>2191</v>
      </c>
      <c r="DS204" s="22"/>
      <c r="DT204" s="6"/>
      <c r="DZ204" s="48"/>
      <c r="EL204" s="3"/>
      <c r="EM204" s="3"/>
      <c r="FK204" s="135"/>
      <c r="FY204" s="2"/>
      <c r="FZ204" s="37" t="s">
        <v>3465</v>
      </c>
      <c r="GA204" s="37" t="s">
        <v>3465</v>
      </c>
      <c r="GB204" s="37" t="s">
        <v>3227</v>
      </c>
      <c r="GC204" s="37" t="s">
        <v>3758</v>
      </c>
      <c r="GD204" s="37" t="s">
        <v>2510</v>
      </c>
      <c r="GF204" s="22"/>
      <c r="GL204" s="48"/>
      <c r="HJ204" s="48"/>
      <c r="IG204" s="1"/>
      <c r="IH204" s="1"/>
      <c r="II204" s="1"/>
      <c r="IJ204" s="1"/>
      <c r="IK204" s="1"/>
      <c r="IL204" s="1"/>
      <c r="IM204" s="1"/>
      <c r="IN204" s="1"/>
      <c r="IO204" s="1"/>
      <c r="IP204" s="1"/>
      <c r="IQ204" s="1"/>
      <c r="IR204" s="1"/>
      <c r="IS204" s="1"/>
      <c r="IT204" s="1"/>
      <c r="IU204" s="1"/>
      <c r="IV204" s="1"/>
      <c r="IW204" s="1"/>
      <c r="IX204" s="1"/>
      <c r="IY204" s="1"/>
      <c r="IZ204" s="1"/>
      <c r="JA204" s="1"/>
      <c r="JB204" s="1"/>
      <c r="JC204" s="1"/>
      <c r="JD204" s="135"/>
    </row>
    <row r="205" spans="9:264">
      <c r="I205" s="22"/>
      <c r="J205" s="156" t="s">
        <v>646</v>
      </c>
      <c r="K205" s="156" t="s">
        <v>646</v>
      </c>
      <c r="L205" s="22">
        <v>2</v>
      </c>
      <c r="M205" s="22">
        <v>51</v>
      </c>
      <c r="N205" s="22">
        <v>2.2999999999999998</v>
      </c>
      <c r="O205" s="22">
        <v>-21</v>
      </c>
      <c r="P205" s="22">
        <v>0</v>
      </c>
      <c r="Q205" s="22">
        <v>-14</v>
      </c>
      <c r="R205" s="22" t="s">
        <v>647</v>
      </c>
      <c r="S205" s="22" t="s">
        <v>648</v>
      </c>
      <c r="AS205" s="3"/>
      <c r="BD205" s="97"/>
      <c r="CJ205" s="123"/>
      <c r="CR205" s="138"/>
      <c r="CW205" s="170"/>
      <c r="DC205" s="182"/>
      <c r="DE205" s="128" t="s">
        <v>2983</v>
      </c>
      <c r="DF205" s="128" t="b">
        <f>ISNUMBER(DF204)</f>
        <v>1</v>
      </c>
      <c r="DG205" s="1" t="s">
        <v>2988</v>
      </c>
      <c r="DH205" s="1">
        <f>-1*DH204</f>
        <v>0</v>
      </c>
      <c r="DK205" s="182"/>
      <c r="DM205" s="2"/>
      <c r="DN205" s="37" t="s">
        <v>2190</v>
      </c>
      <c r="DO205" s="37" t="s">
        <v>2190</v>
      </c>
      <c r="DP205" s="37" t="s">
        <v>2190</v>
      </c>
      <c r="DQ205" s="37" t="s">
        <v>3469</v>
      </c>
      <c r="DR205" s="37" t="s">
        <v>2191</v>
      </c>
      <c r="DS205" s="22"/>
      <c r="DT205" s="6"/>
      <c r="DZ205" s="48"/>
      <c r="EL205" s="3"/>
      <c r="EM205" s="3"/>
      <c r="FK205" s="135"/>
      <c r="FY205" s="2"/>
      <c r="FZ205" s="37" t="s">
        <v>3466</v>
      </c>
      <c r="GA205" s="37" t="s">
        <v>3466</v>
      </c>
      <c r="GB205" s="37" t="s">
        <v>3227</v>
      </c>
      <c r="GC205" s="37" t="s">
        <v>3758</v>
      </c>
      <c r="GD205" s="37" t="s">
        <v>2510</v>
      </c>
      <c r="GF205" s="22"/>
      <c r="GL205" s="48"/>
      <c r="HJ205" s="48"/>
      <c r="IG205" s="1"/>
      <c r="IH205" s="1"/>
      <c r="II205" s="1"/>
      <c r="IJ205" s="1"/>
      <c r="IK205" s="1"/>
      <c r="IL205" s="1"/>
      <c r="IM205" s="1"/>
      <c r="IN205" s="1"/>
      <c r="IO205" s="1"/>
      <c r="IP205" s="1"/>
      <c r="IQ205" s="1"/>
      <c r="IR205" s="1"/>
      <c r="IS205" s="1"/>
      <c r="IT205" s="1"/>
      <c r="IU205" s="1"/>
      <c r="IV205" s="1"/>
      <c r="IW205" s="1"/>
      <c r="IX205" s="1"/>
      <c r="IY205" s="1"/>
      <c r="IZ205" s="1"/>
      <c r="JA205" s="1"/>
      <c r="JB205" s="1"/>
      <c r="JC205" s="1"/>
      <c r="JD205" s="135"/>
    </row>
    <row r="206" spans="9:264">
      <c r="I206" s="22"/>
      <c r="J206" s="156" t="s">
        <v>649</v>
      </c>
      <c r="K206" s="156" t="s">
        <v>649</v>
      </c>
      <c r="L206" s="22">
        <v>3</v>
      </c>
      <c r="M206" s="22">
        <v>2</v>
      </c>
      <c r="N206" s="22">
        <v>23.4</v>
      </c>
      <c r="O206" s="22">
        <v>-23</v>
      </c>
      <c r="P206" s="22">
        <v>-37</v>
      </c>
      <c r="Q206" s="22">
        <v>-28</v>
      </c>
      <c r="R206" s="22" t="s">
        <v>650</v>
      </c>
      <c r="S206" s="22" t="s">
        <v>651</v>
      </c>
      <c r="AS206" s="3"/>
      <c r="BD206" s="97"/>
      <c r="CJ206" s="123"/>
      <c r="CR206" s="138"/>
      <c r="CW206" s="170"/>
      <c r="DC206" s="182"/>
      <c r="DE206" s="128" t="s">
        <v>2985</v>
      </c>
      <c r="DF206" s="128">
        <f>DF205*1</f>
        <v>1</v>
      </c>
      <c r="DG206" s="1" t="s">
        <v>2990</v>
      </c>
      <c r="DH206" s="406">
        <f>IF(DF208=1,DH205,DH203)</f>
        <v>0</v>
      </c>
      <c r="DK206" s="182"/>
      <c r="DM206" s="2"/>
      <c r="DN206" s="37" t="s">
        <v>3470</v>
      </c>
      <c r="DO206" s="37" t="s">
        <v>3470</v>
      </c>
      <c r="DP206" s="37" t="s">
        <v>2146</v>
      </c>
      <c r="DQ206" s="37" t="s">
        <v>3471</v>
      </c>
      <c r="DR206" s="37" t="s">
        <v>2147</v>
      </c>
      <c r="DS206" s="22"/>
      <c r="DT206" s="6"/>
      <c r="DZ206" s="48"/>
      <c r="EL206" s="3"/>
      <c r="EM206" s="3"/>
      <c r="FK206" s="135"/>
      <c r="FY206" s="2"/>
      <c r="FZ206" s="37" t="s">
        <v>3467</v>
      </c>
      <c r="GA206" s="37" t="s">
        <v>3467</v>
      </c>
      <c r="GB206" s="37" t="s">
        <v>3227</v>
      </c>
      <c r="GC206" s="37" t="s">
        <v>3758</v>
      </c>
      <c r="GD206" s="37" t="s">
        <v>2510</v>
      </c>
      <c r="GF206" s="22"/>
      <c r="GL206" s="48"/>
      <c r="HJ206" s="48"/>
      <c r="IG206" s="1"/>
      <c r="IH206" s="1"/>
      <c r="II206" s="1"/>
      <c r="IJ206" s="1"/>
      <c r="IK206" s="1"/>
      <c r="IL206" s="1"/>
      <c r="IM206" s="1"/>
      <c r="IN206" s="1"/>
      <c r="IO206" s="1"/>
      <c r="IP206" s="1"/>
      <c r="IQ206" s="1"/>
      <c r="IR206" s="1"/>
      <c r="IS206" s="1"/>
      <c r="IT206" s="1"/>
      <c r="IU206" s="1"/>
      <c r="IV206" s="1"/>
      <c r="IW206" s="1"/>
      <c r="IX206" s="1"/>
      <c r="IY206" s="1"/>
      <c r="IZ206" s="1"/>
      <c r="JA206" s="1"/>
      <c r="JB206" s="1"/>
      <c r="JC206" s="1"/>
      <c r="JD206" s="135"/>
    </row>
    <row r="207" spans="9:264">
      <c r="I207" s="22"/>
      <c r="J207" s="156" t="s">
        <v>652</v>
      </c>
      <c r="K207" s="156" t="s">
        <v>652</v>
      </c>
      <c r="L207" s="22">
        <v>3</v>
      </c>
      <c r="M207" s="22">
        <v>19</v>
      </c>
      <c r="N207" s="22">
        <v>31</v>
      </c>
      <c r="O207" s="22">
        <v>-21</v>
      </c>
      <c r="P207" s="22">
        <v>-45</v>
      </c>
      <c r="Q207" s="22">
        <v>-28</v>
      </c>
      <c r="R207" s="22" t="s">
        <v>653</v>
      </c>
      <c r="S207" s="22" t="s">
        <v>654</v>
      </c>
      <c r="AS207" s="3"/>
      <c r="BD207" s="97"/>
      <c r="CJ207" s="123"/>
      <c r="CR207" s="138"/>
      <c r="CW207" s="170"/>
      <c r="DC207" s="182"/>
      <c r="DE207" s="128" t="s">
        <v>2987</v>
      </c>
      <c r="DF207" s="6">
        <f>IF(DF206=1,DF204,0)</f>
        <v>0</v>
      </c>
      <c r="DG207" s="1" t="s">
        <v>2069</v>
      </c>
      <c r="DH207" s="175"/>
      <c r="DK207" s="182"/>
      <c r="DM207" s="2"/>
      <c r="DN207" s="37" t="s">
        <v>2146</v>
      </c>
      <c r="DO207" s="37" t="s">
        <v>2146</v>
      </c>
      <c r="DP207" s="37" t="s">
        <v>2146</v>
      </c>
      <c r="DQ207" s="37" t="s">
        <v>3471</v>
      </c>
      <c r="DR207" s="37" t="s">
        <v>2147</v>
      </c>
      <c r="DS207" s="22"/>
      <c r="DT207" s="6"/>
      <c r="DZ207" s="48"/>
      <c r="EL207" s="3"/>
      <c r="EM207" s="3"/>
      <c r="FK207" s="135"/>
      <c r="FY207" s="2"/>
      <c r="FZ207" s="37" t="s">
        <v>3227</v>
      </c>
      <c r="GA207" s="37" t="s">
        <v>3227</v>
      </c>
      <c r="GB207" s="37" t="s">
        <v>3227</v>
      </c>
      <c r="GC207" s="37" t="s">
        <v>3758</v>
      </c>
      <c r="GD207" s="37" t="s">
        <v>2510</v>
      </c>
      <c r="GF207" s="22"/>
      <c r="GL207" s="48"/>
      <c r="HJ207" s="48"/>
      <c r="IG207" s="1"/>
      <c r="IH207" s="1"/>
      <c r="II207" s="1"/>
      <c r="IJ207" s="1"/>
      <c r="IK207" s="1"/>
      <c r="IL207" s="1"/>
      <c r="IM207" s="1"/>
      <c r="IN207" s="1"/>
      <c r="IO207" s="1"/>
      <c r="IP207" s="1"/>
      <c r="IQ207" s="1"/>
      <c r="IR207" s="1"/>
      <c r="IS207" s="1"/>
      <c r="IT207" s="1"/>
      <c r="IU207" s="1"/>
      <c r="IV207" s="1"/>
      <c r="IW207" s="1"/>
      <c r="IX207" s="1"/>
      <c r="IY207" s="1"/>
      <c r="IZ207" s="1"/>
      <c r="JA207" s="1"/>
      <c r="JB207" s="1"/>
      <c r="JC207" s="1"/>
      <c r="JD207" s="135"/>
    </row>
    <row r="208" spans="9:264">
      <c r="I208" s="24" t="s">
        <v>655</v>
      </c>
      <c r="J208" s="157" t="s">
        <v>656</v>
      </c>
      <c r="K208" s="157" t="s">
        <v>656</v>
      </c>
      <c r="L208" s="24" t="s">
        <v>39</v>
      </c>
      <c r="M208" s="24" t="s">
        <v>655</v>
      </c>
      <c r="N208" s="24" t="s">
        <v>655</v>
      </c>
      <c r="O208" s="24" t="s">
        <v>40</v>
      </c>
      <c r="P208" s="24" t="s">
        <v>657</v>
      </c>
      <c r="Q208" s="24" t="s">
        <v>658</v>
      </c>
      <c r="R208" s="24" t="s">
        <v>659</v>
      </c>
      <c r="S208" s="24" t="s">
        <v>657</v>
      </c>
      <c r="AS208" s="3"/>
      <c r="BD208" s="97"/>
      <c r="CJ208" s="123"/>
      <c r="CR208" s="138"/>
      <c r="CW208" s="170"/>
      <c r="DC208" s="182"/>
      <c r="DE208" s="132" t="s">
        <v>2989</v>
      </c>
      <c r="DF208" s="132">
        <f>IF(DF207&lt;0,1,0)</f>
        <v>0</v>
      </c>
      <c r="DG208" s="108" t="s">
        <v>2993</v>
      </c>
      <c r="DK208" s="182"/>
      <c r="DM208" s="2"/>
      <c r="DN208" s="37" t="s">
        <v>3472</v>
      </c>
      <c r="DO208" s="37" t="s">
        <v>3472</v>
      </c>
      <c r="DP208" s="37" t="s">
        <v>2234</v>
      </c>
      <c r="DQ208" s="37" t="s">
        <v>3473</v>
      </c>
      <c r="DR208" s="37" t="s">
        <v>2235</v>
      </c>
      <c r="DS208" s="22"/>
      <c r="DT208" s="6"/>
      <c r="DZ208" s="48"/>
      <c r="EL208" s="3"/>
      <c r="EM208" s="3"/>
      <c r="FK208" s="135"/>
      <c r="FY208" s="2"/>
      <c r="FZ208" s="37" t="s">
        <v>3468</v>
      </c>
      <c r="GA208" s="37" t="s">
        <v>3468</v>
      </c>
      <c r="GB208" s="37" t="s">
        <v>2190</v>
      </c>
      <c r="GC208" s="37" t="s">
        <v>3981</v>
      </c>
      <c r="GD208" s="37" t="s">
        <v>2193</v>
      </c>
      <c r="GF208" s="22"/>
      <c r="GL208" s="48"/>
      <c r="HJ208" s="48"/>
      <c r="IG208" s="1"/>
      <c r="IH208" s="1"/>
      <c r="II208" s="1"/>
      <c r="IJ208" s="1"/>
      <c r="IK208" s="1"/>
      <c r="IL208" s="1"/>
      <c r="IM208" s="1"/>
      <c r="IN208" s="1"/>
      <c r="IO208" s="1"/>
      <c r="IP208" s="1"/>
      <c r="IQ208" s="1"/>
      <c r="IR208" s="1"/>
      <c r="IS208" s="1"/>
      <c r="IT208" s="1"/>
      <c r="IU208" s="1"/>
      <c r="IV208" s="1"/>
      <c r="IW208" s="1"/>
      <c r="IX208" s="1"/>
      <c r="IY208" s="1"/>
      <c r="IZ208" s="1"/>
      <c r="JA208" s="1"/>
      <c r="JB208" s="1"/>
      <c r="JC208" s="1"/>
      <c r="JD208" s="135"/>
    </row>
    <row r="209" spans="9:264">
      <c r="I209" s="22"/>
      <c r="J209" s="156" t="s">
        <v>660</v>
      </c>
      <c r="K209" s="156" t="s">
        <v>660</v>
      </c>
      <c r="L209" s="22">
        <v>21</v>
      </c>
      <c r="M209" s="22">
        <v>15</v>
      </c>
      <c r="N209" s="22">
        <v>49.4</v>
      </c>
      <c r="O209" s="22">
        <v>5</v>
      </c>
      <c r="P209" s="22">
        <v>14</v>
      </c>
      <c r="Q209" s="22">
        <v>52</v>
      </c>
      <c r="R209" s="22" t="s">
        <v>661</v>
      </c>
      <c r="S209" s="22" t="s">
        <v>662</v>
      </c>
      <c r="AS209" s="3"/>
      <c r="BD209" s="97"/>
      <c r="CJ209" s="123"/>
      <c r="CR209" s="138"/>
      <c r="CW209" s="170"/>
      <c r="DC209" s="182"/>
      <c r="DE209" s="128" t="s">
        <v>2992</v>
      </c>
      <c r="DF209" s="128">
        <f>IF(DF208=1,DF207,0)</f>
        <v>0</v>
      </c>
      <c r="DG209" s="1" t="s">
        <v>2994</v>
      </c>
      <c r="DH209" s="1">
        <f>IF(DF208=1,DH199,0)</f>
        <v>0</v>
      </c>
      <c r="DK209" s="182"/>
      <c r="DM209" s="2"/>
      <c r="DN209" s="37" t="s">
        <v>2234</v>
      </c>
      <c r="DO209" s="37" t="s">
        <v>2234</v>
      </c>
      <c r="DP209" s="37" t="s">
        <v>2234</v>
      </c>
      <c r="DQ209" s="37" t="s">
        <v>3473</v>
      </c>
      <c r="DR209" s="37" t="s">
        <v>2235</v>
      </c>
      <c r="DS209" s="22"/>
      <c r="DT209" s="6"/>
      <c r="DZ209" s="48"/>
      <c r="EL209" s="3"/>
      <c r="EM209" s="3"/>
      <c r="FK209" s="135"/>
      <c r="FY209" s="2"/>
      <c r="FZ209" s="37" t="s">
        <v>2190</v>
      </c>
      <c r="GA209" s="37" t="s">
        <v>2190</v>
      </c>
      <c r="GB209" s="37" t="s">
        <v>2190</v>
      </c>
      <c r="GC209" s="37" t="s">
        <v>3981</v>
      </c>
      <c r="GD209" s="37" t="s">
        <v>2193</v>
      </c>
      <c r="GF209" s="22"/>
      <c r="GL209" s="48"/>
      <c r="HJ209" s="48"/>
      <c r="IG209" s="1"/>
      <c r="IH209" s="1"/>
      <c r="II209" s="1"/>
      <c r="IJ209" s="1"/>
      <c r="IK209" s="1"/>
      <c r="IL209" s="1"/>
      <c r="IM209" s="1"/>
      <c r="IN209" s="1"/>
      <c r="IO209" s="1"/>
      <c r="IP209" s="1"/>
      <c r="IQ209" s="1"/>
      <c r="IR209" s="1"/>
      <c r="IS209" s="1"/>
      <c r="IT209" s="1"/>
      <c r="IU209" s="1"/>
      <c r="IV209" s="1"/>
      <c r="IW209" s="1"/>
      <c r="IX209" s="1"/>
      <c r="IY209" s="1"/>
      <c r="IZ209" s="1"/>
      <c r="JA209" s="1"/>
      <c r="JB209" s="1"/>
      <c r="JC209" s="1"/>
      <c r="JD209" s="135"/>
    </row>
    <row r="210" spans="9:264">
      <c r="I210" s="22"/>
      <c r="J210" s="156" t="s">
        <v>663</v>
      </c>
      <c r="K210" s="156" t="s">
        <v>663</v>
      </c>
      <c r="L210" s="22">
        <v>21</v>
      </c>
      <c r="M210" s="22">
        <v>10</v>
      </c>
      <c r="N210" s="22">
        <v>20.5</v>
      </c>
      <c r="O210" s="22">
        <v>10</v>
      </c>
      <c r="P210" s="22">
        <v>7</v>
      </c>
      <c r="Q210" s="22">
        <v>54</v>
      </c>
      <c r="R210" s="22" t="s">
        <v>664</v>
      </c>
      <c r="S210" s="22" t="s">
        <v>665</v>
      </c>
      <c r="AS210" s="3"/>
      <c r="BD210" s="97"/>
      <c r="CJ210" s="123"/>
      <c r="CR210" s="138"/>
      <c r="CW210" s="170"/>
      <c r="DC210" s="182"/>
      <c r="DE210" s="128" t="s">
        <v>3012</v>
      </c>
      <c r="DF210" s="128">
        <f>DF209*-1</f>
        <v>0</v>
      </c>
      <c r="DG210" s="1" t="s">
        <v>2988</v>
      </c>
      <c r="DH210" s="1">
        <f>-1*DH209</f>
        <v>0</v>
      </c>
      <c r="DK210" s="182"/>
      <c r="DM210" s="2"/>
      <c r="DN210" s="37" t="s">
        <v>3474</v>
      </c>
      <c r="DO210" s="37" t="s">
        <v>3474</v>
      </c>
      <c r="DP210" s="37" t="s">
        <v>3228</v>
      </c>
      <c r="DQ210" s="37" t="s">
        <v>3475</v>
      </c>
      <c r="DR210" s="37" t="s">
        <v>2373</v>
      </c>
      <c r="DS210" s="22"/>
      <c r="DT210" s="6"/>
      <c r="DZ210" s="48"/>
      <c r="EL210" s="3"/>
      <c r="EM210" s="3"/>
      <c r="FK210" s="135"/>
      <c r="FY210" s="2"/>
      <c r="FZ210" s="37" t="s">
        <v>3470</v>
      </c>
      <c r="GA210" s="37" t="s">
        <v>3470</v>
      </c>
      <c r="GB210" s="37" t="s">
        <v>2146</v>
      </c>
      <c r="GC210" s="37" t="s">
        <v>3982</v>
      </c>
      <c r="GD210" s="37" t="s">
        <v>2149</v>
      </c>
      <c r="GF210" s="22"/>
      <c r="GL210" s="48"/>
      <c r="HJ210" s="48"/>
      <c r="IG210" s="1"/>
      <c r="IH210" s="1"/>
      <c r="II210" s="1"/>
      <c r="IJ210" s="1"/>
      <c r="IK210" s="1"/>
      <c r="IL210" s="1"/>
      <c r="IM210" s="1"/>
      <c r="IN210" s="1"/>
      <c r="IO210" s="1"/>
      <c r="IP210" s="1"/>
      <c r="IQ210" s="1"/>
      <c r="IR210" s="1"/>
      <c r="IS210" s="1"/>
      <c r="IT210" s="1"/>
      <c r="IU210" s="1"/>
      <c r="IV210" s="1"/>
      <c r="IW210" s="1"/>
      <c r="IX210" s="1"/>
      <c r="IY210" s="1"/>
      <c r="IZ210" s="1"/>
      <c r="JA210" s="1"/>
      <c r="JB210" s="1"/>
      <c r="JC210" s="1"/>
      <c r="JD210" s="135"/>
    </row>
    <row r="211" spans="9:264">
      <c r="I211" s="22"/>
      <c r="J211" s="156" t="s">
        <v>666</v>
      </c>
      <c r="K211" s="156" t="s">
        <v>666</v>
      </c>
      <c r="L211" s="22">
        <v>21</v>
      </c>
      <c r="M211" s="22">
        <v>14</v>
      </c>
      <c r="N211" s="22">
        <v>28.8</v>
      </c>
      <c r="O211" s="22">
        <v>10</v>
      </c>
      <c r="P211" s="22">
        <v>0</v>
      </c>
      <c r="Q211" s="22">
        <v>25</v>
      </c>
      <c r="R211" s="22" t="s">
        <v>667</v>
      </c>
      <c r="S211" s="22" t="s">
        <v>668</v>
      </c>
      <c r="V211" s="5"/>
      <c r="W211" s="5"/>
      <c r="X211" s="283" t="s">
        <v>3101</v>
      </c>
      <c r="Y211" s="5"/>
      <c r="Z211" s="342"/>
      <c r="AA211" s="5"/>
      <c r="AB211" s="5"/>
      <c r="AC211" s="5"/>
      <c r="AD211" s="5"/>
      <c r="AE211" s="5"/>
      <c r="AF211" s="5"/>
      <c r="AG211" s="5"/>
      <c r="AS211" s="3"/>
      <c r="BD211" s="97"/>
      <c r="CJ211" s="123"/>
      <c r="CR211" s="138"/>
      <c r="CW211" s="170"/>
      <c r="DC211" s="182"/>
      <c r="DE211" s="128" t="s">
        <v>2995</v>
      </c>
      <c r="DF211" s="6">
        <f>IF(DF210=0,DF207,DF210)</f>
        <v>0</v>
      </c>
      <c r="DG211" s="1" t="s">
        <v>2996</v>
      </c>
      <c r="DH211" s="406">
        <f>IF(DF208=1,DH210,DH199)</f>
        <v>0</v>
      </c>
      <c r="DK211" s="182"/>
      <c r="DM211" s="2"/>
      <c r="DN211" s="37" t="s">
        <v>3228</v>
      </c>
      <c r="DO211" s="37" t="s">
        <v>3228</v>
      </c>
      <c r="DP211" s="37" t="s">
        <v>3228</v>
      </c>
      <c r="DQ211" s="37" t="s">
        <v>3475</v>
      </c>
      <c r="DR211" s="37" t="s">
        <v>2373</v>
      </c>
      <c r="DS211" s="22"/>
      <c r="DT211" s="6"/>
      <c r="DZ211" s="48"/>
      <c r="EL211" s="3"/>
      <c r="EM211" s="3"/>
      <c r="FK211" s="135"/>
      <c r="FY211" s="2"/>
      <c r="FZ211" s="37" t="s">
        <v>2146</v>
      </c>
      <c r="GA211" s="37" t="s">
        <v>2146</v>
      </c>
      <c r="GB211" s="37" t="s">
        <v>2146</v>
      </c>
      <c r="GC211" s="37" t="s">
        <v>3982</v>
      </c>
      <c r="GD211" s="37" t="s">
        <v>2149</v>
      </c>
      <c r="GF211" s="22"/>
      <c r="GL211" s="48"/>
      <c r="HJ211" s="48"/>
      <c r="IG211" s="1"/>
      <c r="IH211" s="1"/>
      <c r="II211" s="1"/>
      <c r="IJ211" s="1"/>
      <c r="IK211" s="1"/>
      <c r="IL211" s="1"/>
      <c r="IM211" s="1"/>
      <c r="IN211" s="1"/>
      <c r="IO211" s="1"/>
      <c r="IP211" s="1"/>
      <c r="IQ211" s="1"/>
      <c r="IR211" s="1"/>
      <c r="IS211" s="1"/>
      <c r="IT211" s="1"/>
      <c r="IU211" s="1"/>
      <c r="IV211" s="1"/>
      <c r="IW211" s="1"/>
      <c r="IX211" s="1"/>
      <c r="IY211" s="1"/>
      <c r="IZ211" s="1"/>
      <c r="JA211" s="1"/>
      <c r="JB211" s="1"/>
      <c r="JC211" s="1"/>
      <c r="JD211" s="135"/>
    </row>
    <row r="212" spans="9:264">
      <c r="I212" s="24" t="s">
        <v>669</v>
      </c>
      <c r="J212" s="157" t="s">
        <v>670</v>
      </c>
      <c r="K212" s="157" t="s">
        <v>670</v>
      </c>
      <c r="L212" s="24" t="s">
        <v>39</v>
      </c>
      <c r="M212" s="24" t="s">
        <v>669</v>
      </c>
      <c r="N212" s="24" t="s">
        <v>669</v>
      </c>
      <c r="O212" s="24" t="s">
        <v>40</v>
      </c>
      <c r="P212" s="24" t="s">
        <v>671</v>
      </c>
      <c r="Q212" s="24" t="s">
        <v>672</v>
      </c>
      <c r="R212" s="24" t="s">
        <v>673</v>
      </c>
      <c r="S212" s="24" t="s">
        <v>671</v>
      </c>
      <c r="AS212" s="3"/>
      <c r="BD212" s="97"/>
      <c r="CJ212" s="123"/>
      <c r="CR212" s="138"/>
      <c r="CW212" s="170"/>
      <c r="DC212" s="182"/>
      <c r="DE212" s="145" t="s">
        <v>3013</v>
      </c>
      <c r="DF212" s="6">
        <f>DF211</f>
        <v>0</v>
      </c>
      <c r="DG212" s="1" t="s">
        <v>3275</v>
      </c>
      <c r="DH212" s="175"/>
      <c r="DK212" s="182"/>
      <c r="DM212" s="2"/>
      <c r="DN212" s="37" t="s">
        <v>2372</v>
      </c>
      <c r="DO212" s="37" t="s">
        <v>2372</v>
      </c>
      <c r="DP212" s="37" t="s">
        <v>3228</v>
      </c>
      <c r="DQ212" s="37" t="s">
        <v>3475</v>
      </c>
      <c r="DR212" s="37" t="s">
        <v>2373</v>
      </c>
      <c r="DS212" s="22"/>
      <c r="DT212" s="6"/>
      <c r="DZ212" s="48"/>
      <c r="EL212" s="3"/>
      <c r="EM212" s="3"/>
      <c r="FK212" s="135"/>
      <c r="FY212" s="2"/>
      <c r="FZ212" s="37" t="s">
        <v>3472</v>
      </c>
      <c r="GA212" s="37" t="s">
        <v>3472</v>
      </c>
      <c r="GB212" s="37" t="s">
        <v>2234</v>
      </c>
      <c r="GC212" s="37" t="s">
        <v>3983</v>
      </c>
      <c r="GD212" s="37" t="s">
        <v>2237</v>
      </c>
      <c r="GF212" s="22"/>
      <c r="GL212" s="48"/>
      <c r="HJ212" s="48"/>
      <c r="IG212" s="1"/>
      <c r="IH212" s="1"/>
      <c r="II212" s="1"/>
      <c r="IJ212" s="1"/>
      <c r="IK212" s="1"/>
      <c r="IL212" s="1"/>
      <c r="IM212" s="1"/>
      <c r="IN212" s="1"/>
      <c r="IO212" s="1"/>
      <c r="IP212" s="1"/>
      <c r="IQ212" s="1"/>
      <c r="IR212" s="1"/>
      <c r="IS212" s="1"/>
      <c r="IT212" s="1"/>
      <c r="IU212" s="1"/>
      <c r="IV212" s="1"/>
      <c r="IW212" s="1"/>
      <c r="IX212" s="1"/>
      <c r="IY212" s="1"/>
      <c r="IZ212" s="1"/>
      <c r="JA212" s="1"/>
      <c r="JB212" s="1"/>
      <c r="JC212" s="1"/>
      <c r="JD212" s="135"/>
    </row>
    <row r="213" spans="9:264">
      <c r="I213" s="24" t="s">
        <v>674</v>
      </c>
      <c r="J213" s="157" t="s">
        <v>675</v>
      </c>
      <c r="K213" s="157" t="s">
        <v>675</v>
      </c>
      <c r="L213" s="24" t="s">
        <v>39</v>
      </c>
      <c r="M213" s="24" t="s">
        <v>674</v>
      </c>
      <c r="N213" s="24" t="s">
        <v>674</v>
      </c>
      <c r="O213" s="24" t="s">
        <v>40</v>
      </c>
      <c r="P213" s="24" t="s">
        <v>676</v>
      </c>
      <c r="Q213" s="24" t="s">
        <v>677</v>
      </c>
      <c r="R213" s="24" t="s">
        <v>678</v>
      </c>
      <c r="S213" s="24" t="s">
        <v>676</v>
      </c>
      <c r="AS213" s="3"/>
      <c r="BD213" s="97"/>
      <c r="CJ213" s="123"/>
      <c r="CR213" s="138"/>
      <c r="CW213" s="170"/>
      <c r="DC213" s="182"/>
      <c r="DE213" s="1" t="s">
        <v>3014</v>
      </c>
      <c r="DF213" s="190">
        <f>IF(DF212&gt;100,0,DF212)</f>
        <v>0</v>
      </c>
      <c r="DK213" s="182"/>
      <c r="DM213" s="2"/>
      <c r="DN213" s="37" t="s">
        <v>3476</v>
      </c>
      <c r="DO213" s="37" t="s">
        <v>3476</v>
      </c>
      <c r="DP213" s="37" t="s">
        <v>3229</v>
      </c>
      <c r="DQ213" s="37" t="s">
        <v>3477</v>
      </c>
      <c r="DR213" s="37" t="s">
        <v>2285</v>
      </c>
      <c r="DS213" s="22"/>
      <c r="DT213" s="175"/>
      <c r="DZ213" s="48"/>
      <c r="EL213" s="3"/>
      <c r="EM213" s="3"/>
      <c r="FK213" s="135"/>
      <c r="FY213" s="2"/>
      <c r="FZ213" s="37" t="s">
        <v>2234</v>
      </c>
      <c r="GA213" s="37" t="s">
        <v>2234</v>
      </c>
      <c r="GB213" s="37" t="s">
        <v>2234</v>
      </c>
      <c r="GC213" s="37" t="s">
        <v>3983</v>
      </c>
      <c r="GD213" s="37" t="s">
        <v>2237</v>
      </c>
      <c r="GF213" s="22"/>
      <c r="GL213" s="48"/>
      <c r="HJ213" s="48"/>
      <c r="IG213" s="1"/>
      <c r="IH213" s="1"/>
      <c r="II213" s="1"/>
      <c r="IJ213" s="1"/>
      <c r="IK213" s="1"/>
      <c r="IL213" s="1"/>
      <c r="IM213" s="1"/>
      <c r="IN213" s="1"/>
      <c r="IO213" s="1"/>
      <c r="IP213" s="1"/>
      <c r="IQ213" s="1"/>
      <c r="IR213" s="1"/>
      <c r="IS213" s="1"/>
      <c r="IT213" s="1"/>
      <c r="IU213" s="1"/>
      <c r="IV213" s="1"/>
      <c r="IW213" s="1"/>
      <c r="IX213" s="1"/>
      <c r="IY213" s="1"/>
      <c r="IZ213" s="1"/>
      <c r="JA213" s="1"/>
      <c r="JB213" s="1"/>
      <c r="JC213" s="1"/>
      <c r="JD213" s="135"/>
    </row>
    <row r="214" spans="9:264">
      <c r="I214" s="22"/>
      <c r="J214" s="156" t="s">
        <v>679</v>
      </c>
      <c r="K214" s="156" t="s">
        <v>679</v>
      </c>
      <c r="L214" s="22">
        <v>2</v>
      </c>
      <c r="M214" s="22">
        <v>2</v>
      </c>
      <c r="N214" s="22">
        <v>2.8</v>
      </c>
      <c r="O214" s="22">
        <v>2</v>
      </c>
      <c r="P214" s="22">
        <v>45</v>
      </c>
      <c r="Q214" s="22">
        <v>50</v>
      </c>
      <c r="R214" s="22" t="s">
        <v>680</v>
      </c>
      <c r="S214" s="22" t="s">
        <v>681</v>
      </c>
      <c r="AS214" s="3"/>
      <c r="BD214" s="97"/>
      <c r="CJ214" s="123"/>
      <c r="CR214" s="138"/>
      <c r="CW214" s="170"/>
      <c r="DC214" s="182"/>
      <c r="DD214" s="182"/>
      <c r="DE214" s="182"/>
      <c r="DF214" s="182"/>
      <c r="DG214" s="182"/>
      <c r="DH214" s="182"/>
      <c r="DI214" s="182"/>
      <c r="DJ214" s="182"/>
      <c r="DK214" s="182"/>
      <c r="DM214" s="2"/>
      <c r="DN214" s="37" t="s">
        <v>2284</v>
      </c>
      <c r="DO214" s="37" t="s">
        <v>2284</v>
      </c>
      <c r="DP214" s="37" t="s">
        <v>3229</v>
      </c>
      <c r="DQ214" s="37" t="s">
        <v>3477</v>
      </c>
      <c r="DR214" s="37" t="s">
        <v>2285</v>
      </c>
      <c r="DS214" s="22"/>
      <c r="DT214" s="175"/>
      <c r="DZ214" s="48"/>
      <c r="EL214" s="3"/>
      <c r="EM214" s="3"/>
      <c r="FK214" s="135"/>
      <c r="FY214" s="2"/>
      <c r="FZ214" s="37" t="s">
        <v>3474</v>
      </c>
      <c r="GA214" s="37" t="s">
        <v>3474</v>
      </c>
      <c r="GB214" s="37" t="s">
        <v>3228</v>
      </c>
      <c r="GC214" s="37" t="s">
        <v>3984</v>
      </c>
      <c r="GD214" s="37" t="s">
        <v>2375</v>
      </c>
      <c r="GF214" s="22"/>
      <c r="GL214" s="48"/>
      <c r="HJ214" s="48"/>
      <c r="IG214" s="1"/>
      <c r="IH214" s="1"/>
      <c r="II214" s="1"/>
      <c r="IJ214" s="1"/>
      <c r="IK214" s="1"/>
      <c r="IL214" s="1"/>
      <c r="IM214" s="1"/>
      <c r="IN214" s="1"/>
      <c r="IO214" s="1"/>
      <c r="IP214" s="1"/>
      <c r="IQ214" s="1"/>
      <c r="IR214" s="1"/>
      <c r="IS214" s="1"/>
      <c r="IT214" s="1"/>
      <c r="IU214" s="1"/>
      <c r="IV214" s="1"/>
      <c r="IW214" s="1"/>
      <c r="IX214" s="1"/>
      <c r="IY214" s="1"/>
      <c r="IZ214" s="1"/>
      <c r="JA214" s="1"/>
      <c r="JB214" s="1"/>
      <c r="JC214" s="1"/>
      <c r="JD214" s="135"/>
    </row>
    <row r="215" spans="9:264">
      <c r="I215" s="22"/>
      <c r="J215" s="156" t="s">
        <v>682</v>
      </c>
      <c r="K215" s="156" t="s">
        <v>682</v>
      </c>
      <c r="L215" s="22">
        <v>23</v>
      </c>
      <c r="M215" s="22">
        <v>3</v>
      </c>
      <c r="N215" s="22">
        <v>52.6</v>
      </c>
      <c r="O215" s="22">
        <v>3</v>
      </c>
      <c r="P215" s="22">
        <v>49</v>
      </c>
      <c r="Q215" s="22">
        <v>12</v>
      </c>
      <c r="R215" s="22" t="s">
        <v>683</v>
      </c>
      <c r="S215" s="22" t="s">
        <v>684</v>
      </c>
      <c r="AS215" s="3"/>
      <c r="BD215" s="97"/>
      <c r="CJ215" s="123"/>
      <c r="CR215" s="138"/>
      <c r="CW215" s="170"/>
      <c r="DC215" s="182"/>
      <c r="DD215" s="175"/>
      <c r="DE215" s="267" t="s">
        <v>2998</v>
      </c>
      <c r="DF215" s="57">
        <f>DF254</f>
        <v>0</v>
      </c>
      <c r="DG215" s="175"/>
      <c r="DH215" s="175"/>
      <c r="DI215" s="175"/>
      <c r="DJ215" s="175"/>
      <c r="DK215" s="182"/>
      <c r="DM215" s="2"/>
      <c r="DN215" s="37" t="s">
        <v>3478</v>
      </c>
      <c r="DO215" s="37" t="s">
        <v>3478</v>
      </c>
      <c r="DP215" s="37" t="s">
        <v>3229</v>
      </c>
      <c r="DQ215" s="37" t="s">
        <v>3477</v>
      </c>
      <c r="DR215" s="37" t="s">
        <v>2285</v>
      </c>
      <c r="DS215" s="22"/>
      <c r="DT215" s="175"/>
      <c r="DZ215" s="48"/>
      <c r="EL215" s="3"/>
      <c r="EM215" s="3"/>
      <c r="FK215" s="135"/>
      <c r="FY215" s="2"/>
      <c r="FZ215" s="37" t="s">
        <v>3228</v>
      </c>
      <c r="GA215" s="37" t="s">
        <v>3228</v>
      </c>
      <c r="GB215" s="37" t="s">
        <v>3228</v>
      </c>
      <c r="GC215" s="37" t="s">
        <v>3984</v>
      </c>
      <c r="GD215" s="37" t="s">
        <v>2375</v>
      </c>
      <c r="GF215" s="22"/>
      <c r="GL215" s="48"/>
      <c r="HJ215" s="48"/>
      <c r="IG215" s="1"/>
      <c r="IH215" s="1"/>
      <c r="II215" s="1"/>
      <c r="IJ215" s="1"/>
      <c r="IK215" s="1"/>
      <c r="IL215" s="1"/>
      <c r="IM215" s="1"/>
      <c r="IN215" s="1"/>
      <c r="IO215" s="1"/>
      <c r="IP215" s="1"/>
      <c r="IQ215" s="1"/>
      <c r="IR215" s="1"/>
      <c r="IS215" s="1"/>
      <c r="IT215" s="1"/>
      <c r="IU215" s="1"/>
      <c r="IV215" s="1"/>
      <c r="IW215" s="1"/>
      <c r="IX215" s="1"/>
      <c r="IY215" s="1"/>
      <c r="IZ215" s="1"/>
      <c r="JA215" s="1"/>
      <c r="JB215" s="1"/>
      <c r="JC215" s="1"/>
      <c r="JD215" s="135"/>
    </row>
    <row r="216" spans="9:264">
      <c r="I216" s="22"/>
      <c r="J216" s="156" t="s">
        <v>685</v>
      </c>
      <c r="K216" s="156" t="s">
        <v>685</v>
      </c>
      <c r="L216" s="22">
        <v>23</v>
      </c>
      <c r="M216" s="22">
        <v>17</v>
      </c>
      <c r="N216" s="22">
        <v>9.9</v>
      </c>
      <c r="O216" s="22">
        <v>3</v>
      </c>
      <c r="P216" s="22">
        <v>16</v>
      </c>
      <c r="Q216" s="22">
        <v>56</v>
      </c>
      <c r="R216" s="22" t="s">
        <v>686</v>
      </c>
      <c r="S216" s="22" t="s">
        <v>687</v>
      </c>
      <c r="AS216" s="3"/>
      <c r="BD216" s="97"/>
      <c r="CJ216" s="123"/>
      <c r="CR216" s="138"/>
      <c r="CW216" s="170"/>
      <c r="DC216" s="182"/>
      <c r="DD216" s="402"/>
      <c r="DE216" s="402" t="s">
        <v>2935</v>
      </c>
      <c r="DF216" s="195">
        <f>IF(DF215&lt;10,0,DF215)</f>
        <v>0</v>
      </c>
      <c r="DG216" s="403" t="s">
        <v>2999</v>
      </c>
      <c r="DH216" s="402"/>
      <c r="DI216" s="402"/>
      <c r="DJ216" s="402"/>
      <c r="DK216" s="182"/>
      <c r="DM216" s="2"/>
      <c r="DN216" s="37" t="s">
        <v>3229</v>
      </c>
      <c r="DO216" s="37" t="s">
        <v>3229</v>
      </c>
      <c r="DP216" s="37" t="s">
        <v>3229</v>
      </c>
      <c r="DQ216" s="37" t="s">
        <v>3477</v>
      </c>
      <c r="DR216" s="37" t="s">
        <v>2285</v>
      </c>
      <c r="DS216" s="22"/>
      <c r="DT216" s="175"/>
      <c r="DZ216" s="48"/>
      <c r="EL216" s="3"/>
      <c r="EM216" s="3"/>
      <c r="FK216" s="135"/>
      <c r="FY216" s="2"/>
      <c r="FZ216" s="37" t="s">
        <v>2372</v>
      </c>
      <c r="GA216" s="37" t="s">
        <v>2372</v>
      </c>
      <c r="GB216" s="37" t="s">
        <v>3228</v>
      </c>
      <c r="GC216" s="37" t="s">
        <v>3984</v>
      </c>
      <c r="GD216" s="37" t="s">
        <v>2375</v>
      </c>
      <c r="GF216" s="22"/>
      <c r="GL216" s="48"/>
      <c r="HJ216" s="48"/>
      <c r="IG216" s="1"/>
      <c r="IH216" s="1"/>
      <c r="II216" s="1"/>
      <c r="IJ216" s="1"/>
      <c r="IK216" s="1"/>
      <c r="IL216" s="1"/>
      <c r="IM216" s="1"/>
      <c r="IN216" s="1"/>
      <c r="IO216" s="1"/>
      <c r="IP216" s="1"/>
      <c r="IQ216" s="1"/>
      <c r="IR216" s="1"/>
      <c r="IS216" s="1"/>
      <c r="IT216" s="1"/>
      <c r="IU216" s="1"/>
      <c r="IV216" s="1"/>
      <c r="IW216" s="1"/>
      <c r="IX216" s="1"/>
      <c r="IY216" s="1"/>
      <c r="IZ216" s="1"/>
      <c r="JA216" s="1"/>
      <c r="JB216" s="1"/>
      <c r="JC216" s="1"/>
      <c r="JD216" s="135"/>
    </row>
    <row r="217" spans="9:264">
      <c r="I217" s="22"/>
      <c r="J217" s="156" t="s">
        <v>688</v>
      </c>
      <c r="K217" s="156" t="s">
        <v>688</v>
      </c>
      <c r="L217" s="22">
        <v>0</v>
      </c>
      <c r="M217" s="22">
        <v>48</v>
      </c>
      <c r="N217" s="22">
        <v>40.9</v>
      </c>
      <c r="O217" s="22">
        <v>7</v>
      </c>
      <c r="P217" s="22">
        <v>35</v>
      </c>
      <c r="Q217" s="22">
        <v>6</v>
      </c>
      <c r="R217" s="22" t="s">
        <v>689</v>
      </c>
      <c r="S217" s="22" t="s">
        <v>690</v>
      </c>
      <c r="AS217" s="3"/>
      <c r="BD217" s="97"/>
      <c r="CJ217" s="123"/>
      <c r="CR217" s="138"/>
      <c r="CW217" s="170"/>
      <c r="DC217" s="182"/>
      <c r="DE217" s="1" t="s">
        <v>2933</v>
      </c>
      <c r="DF217" s="404">
        <f>IF(DF216&lt;100,DF216,0)</f>
        <v>0</v>
      </c>
      <c r="DG217" s="1" t="s">
        <v>2931</v>
      </c>
      <c r="DH217" s="405">
        <f t="shared" ref="DH217:DH225" si="12">IF(DF218=0,DF217,0)</f>
        <v>0</v>
      </c>
      <c r="DI217" s="1" t="s">
        <v>2936</v>
      </c>
      <c r="DJ217" s="170">
        <f>IF(DH217&gt;0,90,0)</f>
        <v>0</v>
      </c>
      <c r="DK217" s="182"/>
      <c r="DM217" s="2"/>
      <c r="DN217" s="37" t="s">
        <v>3479</v>
      </c>
      <c r="DO217" s="37" t="s">
        <v>3479</v>
      </c>
      <c r="DP217" s="37" t="s">
        <v>2325</v>
      </c>
      <c r="DQ217" s="37" t="s">
        <v>3480</v>
      </c>
      <c r="DR217" s="37" t="s">
        <v>2326</v>
      </c>
      <c r="DS217" s="22"/>
      <c r="DT217" s="6"/>
      <c r="DZ217" s="48"/>
      <c r="EL217" s="3"/>
      <c r="EM217" s="3"/>
      <c r="FK217" s="135"/>
      <c r="FY217" s="2"/>
      <c r="FZ217" s="37" t="s">
        <v>3476</v>
      </c>
      <c r="GA217" s="37" t="s">
        <v>3476</v>
      </c>
      <c r="GB217" s="37" t="s">
        <v>3229</v>
      </c>
      <c r="GC217" s="37" t="s">
        <v>3985</v>
      </c>
      <c r="GD217" s="37" t="s">
        <v>2287</v>
      </c>
      <c r="GF217" s="22"/>
      <c r="GL217" s="48"/>
      <c r="HJ217" s="48"/>
      <c r="IG217" s="1"/>
      <c r="IH217" s="1"/>
      <c r="II217" s="1"/>
      <c r="IJ217" s="1"/>
      <c r="IK217" s="1"/>
      <c r="IL217" s="1"/>
      <c r="IM217" s="1"/>
      <c r="IN217" s="1"/>
      <c r="IO217" s="1"/>
      <c r="IP217" s="1"/>
      <c r="IQ217" s="1"/>
      <c r="IR217" s="1"/>
      <c r="IS217" s="1"/>
      <c r="IT217" s="1"/>
      <c r="IU217" s="1"/>
      <c r="IV217" s="1"/>
      <c r="IW217" s="1"/>
      <c r="IX217" s="1"/>
      <c r="IY217" s="1"/>
      <c r="IZ217" s="1"/>
      <c r="JA217" s="1"/>
      <c r="JB217" s="1"/>
      <c r="JC217" s="1"/>
      <c r="JD217" s="135"/>
    </row>
    <row r="218" spans="9:264">
      <c r="I218" s="22"/>
      <c r="J218" s="156" t="s">
        <v>691</v>
      </c>
      <c r="K218" s="156" t="s">
        <v>691</v>
      </c>
      <c r="L218" s="22">
        <v>1</v>
      </c>
      <c r="M218" s="22">
        <v>2</v>
      </c>
      <c r="N218" s="22">
        <v>56.6</v>
      </c>
      <c r="O218" s="22">
        <v>7</v>
      </c>
      <c r="P218" s="22">
        <v>53</v>
      </c>
      <c r="Q218" s="22">
        <v>24</v>
      </c>
      <c r="R218" s="22" t="s">
        <v>692</v>
      </c>
      <c r="S218" s="22" t="s">
        <v>693</v>
      </c>
      <c r="AS218" s="3"/>
      <c r="BD218" s="97"/>
      <c r="CJ218" s="123"/>
      <c r="CR218" s="138"/>
      <c r="CW218" s="170"/>
      <c r="DC218" s="182"/>
      <c r="DE218" s="1" t="s">
        <v>2937</v>
      </c>
      <c r="DF218" s="404">
        <f>IF(DF216&lt;90,DF216,0)</f>
        <v>0</v>
      </c>
      <c r="DG218" s="1" t="s">
        <v>2931</v>
      </c>
      <c r="DH218" s="405">
        <f t="shared" si="12"/>
        <v>0</v>
      </c>
      <c r="DI218" s="1" t="s">
        <v>2938</v>
      </c>
      <c r="DJ218" s="170">
        <f>IF(DH218&gt;0,80,0)</f>
        <v>0</v>
      </c>
      <c r="DK218" s="182"/>
      <c r="DM218" s="2"/>
      <c r="DN218" s="37" t="s">
        <v>2325</v>
      </c>
      <c r="DO218" s="37" t="s">
        <v>2325</v>
      </c>
      <c r="DP218" s="37" t="s">
        <v>2325</v>
      </c>
      <c r="DQ218" s="37" t="s">
        <v>3480</v>
      </c>
      <c r="DR218" s="37" t="s">
        <v>2326</v>
      </c>
      <c r="DS218" s="22"/>
      <c r="DT218" s="6"/>
      <c r="DZ218" s="48"/>
      <c r="EL218" s="3"/>
      <c r="EM218" s="3"/>
      <c r="FK218" s="135"/>
      <c r="FY218" s="2"/>
      <c r="FZ218" s="37" t="s">
        <v>2284</v>
      </c>
      <c r="GA218" s="37" t="s">
        <v>2284</v>
      </c>
      <c r="GB218" s="37" t="s">
        <v>3229</v>
      </c>
      <c r="GC218" s="37" t="s">
        <v>3985</v>
      </c>
      <c r="GD218" s="37" t="s">
        <v>2287</v>
      </c>
      <c r="GF218" s="22"/>
      <c r="GL218" s="48"/>
      <c r="HJ218" s="48"/>
      <c r="IG218" s="1"/>
      <c r="IH218" s="1"/>
      <c r="II218" s="1"/>
      <c r="IJ218" s="1"/>
      <c r="IK218" s="1"/>
      <c r="IL218" s="1"/>
      <c r="IM218" s="1"/>
      <c r="IN218" s="1"/>
      <c r="IO218" s="1"/>
      <c r="IP218" s="1"/>
      <c r="IQ218" s="1"/>
      <c r="IR218" s="1"/>
      <c r="IS218" s="1"/>
      <c r="IT218" s="1"/>
      <c r="IU218" s="1"/>
      <c r="IV218" s="1"/>
      <c r="IW218" s="1"/>
      <c r="IX218" s="1"/>
      <c r="IY218" s="1"/>
      <c r="IZ218" s="1"/>
      <c r="JA218" s="1"/>
      <c r="JB218" s="1"/>
      <c r="JC218" s="1"/>
      <c r="JD218" s="135"/>
    </row>
    <row r="219" spans="9:264">
      <c r="I219" s="22"/>
      <c r="J219" s="156" t="s">
        <v>694</v>
      </c>
      <c r="K219" s="156" t="s">
        <v>694</v>
      </c>
      <c r="L219" s="22">
        <v>1</v>
      </c>
      <c r="M219" s="22">
        <v>31</v>
      </c>
      <c r="N219" s="22">
        <v>29</v>
      </c>
      <c r="O219" s="22">
        <v>15</v>
      </c>
      <c r="P219" s="22">
        <v>20</v>
      </c>
      <c r="Q219" s="22">
        <v>45</v>
      </c>
      <c r="R219" s="22" t="s">
        <v>695</v>
      </c>
      <c r="S219" s="22" t="s">
        <v>696</v>
      </c>
      <c r="AS219" s="3"/>
      <c r="BD219" s="97"/>
      <c r="CJ219" s="123"/>
      <c r="CR219" s="138"/>
      <c r="CW219" s="170"/>
      <c r="DC219" s="182"/>
      <c r="DE219" s="1" t="s">
        <v>2939</v>
      </c>
      <c r="DF219" s="404">
        <f>IF(DF216&lt;80,DF216,0)</f>
        <v>0</v>
      </c>
      <c r="DG219" s="1" t="s">
        <v>2931</v>
      </c>
      <c r="DH219" s="405">
        <f t="shared" si="12"/>
        <v>0</v>
      </c>
      <c r="DI219" s="1" t="s">
        <v>2940</v>
      </c>
      <c r="DJ219" s="170">
        <f>IF(DH219&gt;0,70,0)</f>
        <v>0</v>
      </c>
      <c r="DK219" s="182"/>
      <c r="DM219" s="2"/>
      <c r="DN219" s="37" t="s">
        <v>3481</v>
      </c>
      <c r="DO219" s="37" t="s">
        <v>3481</v>
      </c>
      <c r="DP219" s="37" t="s">
        <v>3230</v>
      </c>
      <c r="DQ219" s="37" t="s">
        <v>3482</v>
      </c>
      <c r="DR219" s="37" t="s">
        <v>2390</v>
      </c>
      <c r="DS219" s="22"/>
      <c r="DT219" s="6"/>
      <c r="DZ219" s="48"/>
      <c r="EL219" s="3"/>
      <c r="EM219" s="3"/>
      <c r="FK219" s="135"/>
      <c r="FY219" s="2"/>
      <c r="FZ219" s="37" t="s">
        <v>3478</v>
      </c>
      <c r="GA219" s="37" t="s">
        <v>3478</v>
      </c>
      <c r="GB219" s="37" t="s">
        <v>3229</v>
      </c>
      <c r="GC219" s="37" t="s">
        <v>3985</v>
      </c>
      <c r="GD219" s="37" t="s">
        <v>2287</v>
      </c>
      <c r="GF219" s="22"/>
      <c r="GL219" s="48"/>
      <c r="HJ219" s="48"/>
      <c r="IG219" s="1"/>
      <c r="IH219" s="1"/>
      <c r="II219" s="1"/>
      <c r="IJ219" s="1"/>
      <c r="IK219" s="1"/>
      <c r="IL219" s="1"/>
      <c r="IM219" s="1"/>
      <c r="IN219" s="1"/>
      <c r="IO219" s="1"/>
      <c r="IP219" s="1"/>
      <c r="IQ219" s="1"/>
      <c r="IR219" s="1"/>
      <c r="IS219" s="1"/>
      <c r="IT219" s="1"/>
      <c r="IU219" s="1"/>
      <c r="IV219" s="1"/>
      <c r="IW219" s="1"/>
      <c r="IX219" s="1"/>
      <c r="IY219" s="1"/>
      <c r="IZ219" s="1"/>
      <c r="JA219" s="1"/>
      <c r="JB219" s="1"/>
      <c r="JC219" s="1"/>
      <c r="JD219" s="135"/>
    </row>
    <row r="220" spans="9:264">
      <c r="I220" s="22"/>
      <c r="J220" s="156" t="s">
        <v>697</v>
      </c>
      <c r="K220" s="156" t="s">
        <v>697</v>
      </c>
      <c r="L220" s="22">
        <v>23</v>
      </c>
      <c r="M220" s="22">
        <v>27</v>
      </c>
      <c r="N220" s="22">
        <v>58.1</v>
      </c>
      <c r="O220" s="22">
        <v>6</v>
      </c>
      <c r="P220" s="22">
        <v>22</v>
      </c>
      <c r="Q220" s="22">
        <v>44</v>
      </c>
      <c r="R220" s="22" t="s">
        <v>698</v>
      </c>
      <c r="S220" s="22" t="s">
        <v>699</v>
      </c>
      <c r="AS220" s="3"/>
      <c r="BD220" s="97"/>
      <c r="CJ220" s="123"/>
      <c r="CR220" s="138"/>
      <c r="CW220" s="170"/>
      <c r="DC220" s="182"/>
      <c r="DE220" s="1" t="s">
        <v>2941</v>
      </c>
      <c r="DF220" s="404">
        <f>IF(DF216&lt;70,DF216,0)</f>
        <v>0</v>
      </c>
      <c r="DG220" s="1" t="s">
        <v>2931</v>
      </c>
      <c r="DH220" s="405">
        <f t="shared" si="12"/>
        <v>0</v>
      </c>
      <c r="DI220" s="1" t="s">
        <v>2942</v>
      </c>
      <c r="DJ220" s="170">
        <f>IF(DH220&gt;0,60,0)</f>
        <v>0</v>
      </c>
      <c r="DK220" s="182"/>
      <c r="DM220" s="2"/>
      <c r="DN220" s="37" t="s">
        <v>2389</v>
      </c>
      <c r="DO220" s="37" t="s">
        <v>2389</v>
      </c>
      <c r="DP220" s="37" t="s">
        <v>3230</v>
      </c>
      <c r="DQ220" s="37" t="s">
        <v>3482</v>
      </c>
      <c r="DR220" s="37" t="s">
        <v>2390</v>
      </c>
      <c r="DS220" s="22"/>
      <c r="DT220" s="6"/>
      <c r="DZ220" s="48"/>
      <c r="EL220" s="3"/>
      <c r="EM220" s="3"/>
      <c r="FK220" s="135"/>
      <c r="FY220" s="2"/>
      <c r="FZ220" s="37" t="s">
        <v>3229</v>
      </c>
      <c r="GA220" s="37" t="s">
        <v>3229</v>
      </c>
      <c r="GB220" s="37" t="s">
        <v>3229</v>
      </c>
      <c r="GC220" s="37" t="s">
        <v>3985</v>
      </c>
      <c r="GD220" s="37" t="s">
        <v>2287</v>
      </c>
      <c r="GF220" s="22"/>
      <c r="GL220" s="48"/>
      <c r="HJ220" s="48"/>
      <c r="IG220" s="1"/>
      <c r="IH220" s="1"/>
      <c r="II220" s="1"/>
      <c r="IJ220" s="1"/>
      <c r="IK220" s="1"/>
      <c r="IL220" s="1"/>
      <c r="IM220" s="1"/>
      <c r="IN220" s="1"/>
      <c r="IO220" s="1"/>
      <c r="IP220" s="1"/>
      <c r="IQ220" s="1"/>
      <c r="IR220" s="1"/>
      <c r="IS220" s="1"/>
      <c r="IT220" s="1"/>
      <c r="IU220" s="1"/>
      <c r="IV220" s="1"/>
      <c r="IW220" s="1"/>
      <c r="IX220" s="1"/>
      <c r="IY220" s="1"/>
      <c r="IZ220" s="1"/>
      <c r="JA220" s="1"/>
      <c r="JB220" s="1"/>
      <c r="JC220" s="1"/>
      <c r="JD220" s="135"/>
    </row>
    <row r="221" spans="9:264">
      <c r="I221" s="22"/>
      <c r="J221" s="156" t="s">
        <v>700</v>
      </c>
      <c r="K221" s="156" t="s">
        <v>700</v>
      </c>
      <c r="L221" s="22">
        <v>23</v>
      </c>
      <c r="M221" s="22">
        <v>39</v>
      </c>
      <c r="N221" s="22">
        <v>57</v>
      </c>
      <c r="O221" s="22">
        <v>5</v>
      </c>
      <c r="P221" s="22">
        <v>37</v>
      </c>
      <c r="Q221" s="22">
        <v>35</v>
      </c>
      <c r="R221" s="22" t="s">
        <v>701</v>
      </c>
      <c r="S221" s="22" t="s">
        <v>702</v>
      </c>
      <c r="AS221" s="3"/>
      <c r="BD221" s="97"/>
      <c r="CJ221" s="123"/>
      <c r="CR221" s="138"/>
      <c r="CW221" s="170"/>
      <c r="DC221" s="182"/>
      <c r="DE221" s="1" t="s">
        <v>2943</v>
      </c>
      <c r="DF221" s="404">
        <f>IF(DF216&lt;60,DF216,0)</f>
        <v>0</v>
      </c>
      <c r="DG221" s="1" t="s">
        <v>2931</v>
      </c>
      <c r="DH221" s="405">
        <f t="shared" si="12"/>
        <v>0</v>
      </c>
      <c r="DI221" s="1" t="s">
        <v>2944</v>
      </c>
      <c r="DJ221" s="170">
        <f>IF(DH221&gt;0,50,0)</f>
        <v>0</v>
      </c>
      <c r="DK221" s="182"/>
      <c r="DM221" s="2"/>
      <c r="DN221" s="37" t="s">
        <v>3483</v>
      </c>
      <c r="DO221" s="37" t="s">
        <v>3483</v>
      </c>
      <c r="DP221" s="37" t="s">
        <v>3230</v>
      </c>
      <c r="DQ221" s="37" t="s">
        <v>3482</v>
      </c>
      <c r="DR221" s="37" t="s">
        <v>2390</v>
      </c>
      <c r="DS221" s="22"/>
      <c r="DT221" s="6"/>
      <c r="DZ221" s="48"/>
      <c r="EL221" s="3"/>
      <c r="EM221" s="3"/>
      <c r="FK221" s="135"/>
      <c r="FY221" s="2"/>
      <c r="FZ221" s="37" t="s">
        <v>3479</v>
      </c>
      <c r="GA221" s="37" t="s">
        <v>3479</v>
      </c>
      <c r="GB221" s="37" t="s">
        <v>2325</v>
      </c>
      <c r="GC221" s="37" t="s">
        <v>3986</v>
      </c>
      <c r="GD221" s="37" t="s">
        <v>2328</v>
      </c>
      <c r="GF221" s="22"/>
      <c r="GL221" s="48"/>
      <c r="HJ221" s="48"/>
      <c r="IG221" s="1"/>
      <c r="IH221" s="1"/>
      <c r="II221" s="1"/>
      <c r="IJ221" s="1"/>
      <c r="IK221" s="1"/>
      <c r="IL221" s="1"/>
      <c r="IM221" s="1"/>
      <c r="IN221" s="1"/>
      <c r="IO221" s="1"/>
      <c r="IP221" s="1"/>
      <c r="IQ221" s="1"/>
      <c r="IR221" s="1"/>
      <c r="IS221" s="1"/>
      <c r="IT221" s="1"/>
      <c r="IU221" s="1"/>
      <c r="IV221" s="1"/>
      <c r="IW221" s="1"/>
      <c r="IX221" s="1"/>
      <c r="IY221" s="1"/>
      <c r="IZ221" s="1"/>
      <c r="JA221" s="1"/>
      <c r="JB221" s="1"/>
      <c r="JC221" s="1"/>
      <c r="JD221" s="135"/>
    </row>
    <row r="222" spans="9:264">
      <c r="I222" s="22"/>
      <c r="J222" s="156" t="s">
        <v>703</v>
      </c>
      <c r="K222" s="156" t="s">
        <v>703</v>
      </c>
      <c r="L222" s="22">
        <v>23</v>
      </c>
      <c r="M222" s="22">
        <v>26</v>
      </c>
      <c r="N222" s="22">
        <v>56</v>
      </c>
      <c r="O222" s="22">
        <v>1</v>
      </c>
      <c r="P222" s="22">
        <v>15</v>
      </c>
      <c r="Q222" s="22">
        <v>20</v>
      </c>
      <c r="R222" s="22" t="s">
        <v>704</v>
      </c>
      <c r="S222" s="22" t="s">
        <v>705</v>
      </c>
      <c r="AS222" s="3"/>
      <c r="BD222" s="97"/>
      <c r="CJ222" s="123"/>
      <c r="CR222" s="138"/>
      <c r="CW222" s="170"/>
      <c r="DC222" s="182"/>
      <c r="DE222" s="1" t="s">
        <v>2945</v>
      </c>
      <c r="DF222" s="404">
        <f>IF(DF216&lt;50,DF216,0)</f>
        <v>0</v>
      </c>
      <c r="DG222" s="1" t="s">
        <v>2931</v>
      </c>
      <c r="DH222" s="405">
        <f t="shared" si="12"/>
        <v>0</v>
      </c>
      <c r="DI222" s="1" t="s">
        <v>2946</v>
      </c>
      <c r="DJ222" s="170">
        <f>IF(DH222&gt;0,40,0)</f>
        <v>0</v>
      </c>
      <c r="DK222" s="182"/>
      <c r="DM222" s="2"/>
      <c r="DN222" s="37" t="s">
        <v>3230</v>
      </c>
      <c r="DO222" s="37" t="s">
        <v>3230</v>
      </c>
      <c r="DP222" s="37" t="s">
        <v>3230</v>
      </c>
      <c r="DQ222" s="37" t="s">
        <v>3482</v>
      </c>
      <c r="DR222" s="37" t="s">
        <v>2390</v>
      </c>
      <c r="DS222" s="22"/>
      <c r="DT222" s="6"/>
      <c r="DZ222" s="48"/>
      <c r="EL222" s="3"/>
      <c r="EM222" s="3"/>
      <c r="FK222" s="135"/>
      <c r="FY222" s="2"/>
      <c r="FZ222" s="37" t="s">
        <v>2325</v>
      </c>
      <c r="GA222" s="37" t="s">
        <v>2325</v>
      </c>
      <c r="GB222" s="37" t="s">
        <v>2325</v>
      </c>
      <c r="GC222" s="37" t="s">
        <v>3986</v>
      </c>
      <c r="GD222" s="37" t="s">
        <v>2328</v>
      </c>
      <c r="GF222" s="22"/>
      <c r="GL222" s="48"/>
      <c r="HJ222" s="48"/>
      <c r="IG222" s="1"/>
      <c r="IH222" s="1"/>
      <c r="II222" s="1"/>
      <c r="IJ222" s="1"/>
      <c r="IK222" s="1"/>
      <c r="IL222" s="1"/>
      <c r="IM222" s="1"/>
      <c r="IN222" s="1"/>
      <c r="IO222" s="1"/>
      <c r="IP222" s="1"/>
      <c r="IQ222" s="1"/>
      <c r="IR222" s="1"/>
      <c r="IS222" s="1"/>
      <c r="IT222" s="1"/>
      <c r="IU222" s="1"/>
      <c r="IV222" s="1"/>
      <c r="IW222" s="1"/>
      <c r="IX222" s="1"/>
      <c r="IY222" s="1"/>
      <c r="IZ222" s="1"/>
      <c r="JA222" s="1"/>
      <c r="JB222" s="1"/>
      <c r="JC222" s="1"/>
      <c r="JD222" s="135"/>
    </row>
    <row r="223" spans="9:264">
      <c r="I223" s="22"/>
      <c r="J223" s="156" t="s">
        <v>706</v>
      </c>
      <c r="K223" s="156" t="s">
        <v>706</v>
      </c>
      <c r="L223" s="22">
        <v>23</v>
      </c>
      <c r="M223" s="22">
        <v>42</v>
      </c>
      <c r="N223" s="22">
        <v>2.8</v>
      </c>
      <c r="O223" s="22">
        <v>1</v>
      </c>
      <c r="P223" s="22">
        <v>46</v>
      </c>
      <c r="Q223" s="22">
        <v>48</v>
      </c>
      <c r="R223" s="22" t="s">
        <v>707</v>
      </c>
      <c r="S223" s="22" t="s">
        <v>708</v>
      </c>
      <c r="AS223" s="3"/>
      <c r="BD223" s="97"/>
      <c r="CJ223" s="123"/>
      <c r="CR223" s="138"/>
      <c r="CW223" s="170"/>
      <c r="DC223" s="182"/>
      <c r="DE223" s="1" t="s">
        <v>2947</v>
      </c>
      <c r="DF223" s="404">
        <f>IF(DF216&lt;40,DF216,0)</f>
        <v>0</v>
      </c>
      <c r="DG223" s="1" t="s">
        <v>2931</v>
      </c>
      <c r="DH223" s="405">
        <f t="shared" si="12"/>
        <v>0</v>
      </c>
      <c r="DI223" s="1" t="s">
        <v>2948</v>
      </c>
      <c r="DJ223" s="170">
        <f>IF(DH223&gt;0,30,0)</f>
        <v>0</v>
      </c>
      <c r="DK223" s="182"/>
      <c r="DM223" s="2"/>
      <c r="DN223" s="37" t="s">
        <v>3484</v>
      </c>
      <c r="DO223" s="37" t="s">
        <v>3484</v>
      </c>
      <c r="DP223" s="37" t="s">
        <v>2400</v>
      </c>
      <c r="DQ223" s="37" t="s">
        <v>3485</v>
      </c>
      <c r="DR223" s="37" t="s">
        <v>2401</v>
      </c>
      <c r="DS223" s="22"/>
      <c r="DT223" s="6"/>
      <c r="DZ223" s="48"/>
      <c r="EL223" s="3"/>
      <c r="EM223" s="3"/>
      <c r="FK223" s="135"/>
      <c r="FY223" s="2"/>
      <c r="FZ223" s="37" t="s">
        <v>3481</v>
      </c>
      <c r="GA223" s="37" t="s">
        <v>3481</v>
      </c>
      <c r="GB223" s="37" t="s">
        <v>3230</v>
      </c>
      <c r="GC223" s="37" t="s">
        <v>3987</v>
      </c>
      <c r="GD223" s="37" t="s">
        <v>2392</v>
      </c>
      <c r="GF223" s="22"/>
      <c r="GL223" s="48"/>
      <c r="HJ223" s="48"/>
      <c r="IG223" s="1"/>
      <c r="IH223" s="1"/>
      <c r="II223" s="1"/>
      <c r="IJ223" s="1"/>
      <c r="IK223" s="1"/>
      <c r="IL223" s="1"/>
      <c r="IM223" s="1"/>
      <c r="IN223" s="1"/>
      <c r="IO223" s="1"/>
      <c r="IP223" s="1"/>
      <c r="IQ223" s="1"/>
      <c r="IR223" s="1"/>
      <c r="IS223" s="1"/>
      <c r="IT223" s="1"/>
      <c r="IU223" s="1"/>
      <c r="IV223" s="1"/>
      <c r="IW223" s="1"/>
      <c r="IX223" s="1"/>
      <c r="IY223" s="1"/>
      <c r="IZ223" s="1"/>
      <c r="JA223" s="1"/>
      <c r="JB223" s="1"/>
      <c r="JC223" s="1"/>
      <c r="JD223" s="135"/>
    </row>
    <row r="224" spans="9:264">
      <c r="I224" s="22"/>
      <c r="J224" s="156" t="s">
        <v>709</v>
      </c>
      <c r="K224" s="156" t="s">
        <v>709</v>
      </c>
      <c r="L224" s="22">
        <v>1</v>
      </c>
      <c r="M224" s="22">
        <v>30</v>
      </c>
      <c r="N224" s="22">
        <v>11.1</v>
      </c>
      <c r="O224" s="22">
        <v>6</v>
      </c>
      <c r="P224" s="22">
        <v>8</v>
      </c>
      <c r="Q224" s="22">
        <v>38</v>
      </c>
      <c r="R224" s="22" t="s">
        <v>710</v>
      </c>
      <c r="S224" s="22" t="s">
        <v>711</v>
      </c>
      <c r="AS224" s="3"/>
      <c r="BD224" s="97"/>
      <c r="CJ224" s="123"/>
      <c r="CR224" s="138"/>
      <c r="CW224" s="170"/>
      <c r="DC224" s="182"/>
      <c r="DE224" s="1" t="s">
        <v>2949</v>
      </c>
      <c r="DF224" s="404">
        <f>IF(DF216&lt;30,DF216,0)</f>
        <v>0</v>
      </c>
      <c r="DG224" s="1" t="s">
        <v>2931</v>
      </c>
      <c r="DH224" s="405">
        <f t="shared" si="12"/>
        <v>0</v>
      </c>
      <c r="DI224" s="1" t="s">
        <v>2950</v>
      </c>
      <c r="DJ224" s="170">
        <f>IF(DH224&gt;0,20,0)</f>
        <v>0</v>
      </c>
      <c r="DK224" s="182"/>
      <c r="DM224" s="2"/>
      <c r="DN224" s="37" t="s">
        <v>3231</v>
      </c>
      <c r="DO224" s="37" t="s">
        <v>3231</v>
      </c>
      <c r="DP224" s="37" t="s">
        <v>2400</v>
      </c>
      <c r="DQ224" s="37" t="s">
        <v>3485</v>
      </c>
      <c r="DR224" s="37" t="s">
        <v>2401</v>
      </c>
      <c r="DS224" s="22"/>
      <c r="DT224" s="6"/>
      <c r="DZ224" s="48"/>
      <c r="EL224" s="3"/>
      <c r="EM224" s="3"/>
      <c r="FK224" s="135"/>
      <c r="FY224" s="2"/>
      <c r="FZ224" s="37" t="s">
        <v>2389</v>
      </c>
      <c r="GA224" s="37" t="s">
        <v>2389</v>
      </c>
      <c r="GB224" s="37" t="s">
        <v>3230</v>
      </c>
      <c r="GC224" s="37" t="s">
        <v>3987</v>
      </c>
      <c r="GD224" s="37" t="s">
        <v>2392</v>
      </c>
      <c r="GF224" s="22"/>
      <c r="GL224" s="48"/>
      <c r="HJ224" s="48"/>
      <c r="IG224" s="1"/>
      <c r="IH224" s="1"/>
      <c r="II224" s="1"/>
      <c r="IJ224" s="1"/>
      <c r="IK224" s="1"/>
      <c r="IL224" s="1"/>
      <c r="IM224" s="1"/>
      <c r="IN224" s="1"/>
      <c r="IO224" s="1"/>
      <c r="IP224" s="1"/>
      <c r="IQ224" s="1"/>
      <c r="IR224" s="1"/>
      <c r="IS224" s="1"/>
      <c r="IT224" s="1"/>
      <c r="IU224" s="1"/>
      <c r="IV224" s="1"/>
      <c r="IW224" s="1"/>
      <c r="IX224" s="1"/>
      <c r="IY224" s="1"/>
      <c r="IZ224" s="1"/>
      <c r="JA224" s="1"/>
      <c r="JB224" s="1"/>
      <c r="JC224" s="1"/>
      <c r="JD224" s="135"/>
    </row>
    <row r="225" spans="9:264">
      <c r="I225" s="22"/>
      <c r="J225" s="156" t="s">
        <v>712</v>
      </c>
      <c r="K225" s="156" t="s">
        <v>712</v>
      </c>
      <c r="L225" s="22">
        <v>1</v>
      </c>
      <c r="M225" s="22">
        <v>41</v>
      </c>
      <c r="N225" s="22">
        <v>25.9</v>
      </c>
      <c r="O225" s="22">
        <v>5</v>
      </c>
      <c r="P225" s="22">
        <v>29</v>
      </c>
      <c r="Q225" s="22">
        <v>15</v>
      </c>
      <c r="R225" s="22" t="s">
        <v>713</v>
      </c>
      <c r="S225" s="22" t="s">
        <v>714</v>
      </c>
      <c r="AS225" s="3"/>
      <c r="BD225" s="97"/>
      <c r="CJ225" s="123"/>
      <c r="CR225" s="138"/>
      <c r="CW225" s="170"/>
      <c r="DC225" s="182"/>
      <c r="DE225" s="1" t="s">
        <v>2951</v>
      </c>
      <c r="DF225" s="404">
        <f>IF(DF216&lt;20,DF216,0)</f>
        <v>0</v>
      </c>
      <c r="DG225" s="1" t="s">
        <v>2931</v>
      </c>
      <c r="DH225" s="405">
        <f t="shared" si="12"/>
        <v>0</v>
      </c>
      <c r="DI225" s="1" t="s">
        <v>2952</v>
      </c>
      <c r="DJ225" s="170">
        <f>IF(DH225&gt;0,10,0)</f>
        <v>0</v>
      </c>
      <c r="DK225" s="182"/>
      <c r="DM225" s="2"/>
      <c r="DN225" s="37" t="s">
        <v>3486</v>
      </c>
      <c r="DO225" s="37" t="s">
        <v>3486</v>
      </c>
      <c r="DP225" s="37" t="s">
        <v>2400</v>
      </c>
      <c r="DQ225" s="37" t="s">
        <v>3485</v>
      </c>
      <c r="DR225" s="37" t="s">
        <v>2401</v>
      </c>
      <c r="DS225" s="22"/>
      <c r="DT225" s="6"/>
      <c r="DZ225" s="48"/>
      <c r="EL225" s="3"/>
      <c r="EM225" s="3"/>
      <c r="FK225" s="135"/>
      <c r="FY225" s="2"/>
      <c r="FZ225" s="37" t="s">
        <v>3483</v>
      </c>
      <c r="GA225" s="37" t="s">
        <v>3483</v>
      </c>
      <c r="GB225" s="37" t="s">
        <v>3230</v>
      </c>
      <c r="GC225" s="37" t="s">
        <v>3987</v>
      </c>
      <c r="GD225" s="37" t="s">
        <v>2392</v>
      </c>
      <c r="GF225" s="22"/>
      <c r="GL225" s="48"/>
      <c r="HJ225" s="48"/>
      <c r="IG225" s="1"/>
      <c r="IH225" s="1"/>
      <c r="II225" s="1"/>
      <c r="IJ225" s="1"/>
      <c r="IK225" s="1"/>
      <c r="IL225" s="1"/>
      <c r="IM225" s="1"/>
      <c r="IN225" s="1"/>
      <c r="IO225" s="1"/>
      <c r="IP225" s="1"/>
      <c r="IQ225" s="1"/>
      <c r="IR225" s="1"/>
      <c r="IS225" s="1"/>
      <c r="IT225" s="1"/>
      <c r="IU225" s="1"/>
      <c r="IV225" s="1"/>
      <c r="IW225" s="1"/>
      <c r="IX225" s="1"/>
      <c r="IY225" s="1"/>
      <c r="IZ225" s="1"/>
      <c r="JA225" s="1"/>
      <c r="JB225" s="1"/>
      <c r="JC225" s="1"/>
      <c r="JD225" s="135"/>
    </row>
    <row r="226" spans="9:264">
      <c r="I226" s="22"/>
      <c r="J226" s="156" t="s">
        <v>715</v>
      </c>
      <c r="K226" s="156" t="s">
        <v>715</v>
      </c>
      <c r="L226" s="22">
        <v>1</v>
      </c>
      <c r="M226" s="22">
        <v>45</v>
      </c>
      <c r="N226" s="22">
        <v>23.6</v>
      </c>
      <c r="O226" s="22">
        <v>9</v>
      </c>
      <c r="P226" s="22">
        <v>9</v>
      </c>
      <c r="Q226" s="22">
        <v>28</v>
      </c>
      <c r="R226" s="22" t="s">
        <v>716</v>
      </c>
      <c r="S226" s="22" t="s">
        <v>717</v>
      </c>
      <c r="AS226" s="3"/>
      <c r="BD226" s="97"/>
      <c r="CJ226" s="123"/>
      <c r="CR226" s="138"/>
      <c r="CW226" s="170"/>
      <c r="DC226" s="182"/>
      <c r="DE226" s="1" t="s">
        <v>2953</v>
      </c>
      <c r="DF226" s="404">
        <f>IF(DF216&lt;10,DF216,0)</f>
        <v>0</v>
      </c>
      <c r="DG226" s="1" t="s">
        <v>2932</v>
      </c>
      <c r="DH226" s="405">
        <f>DH217+DH218+DH219+DH220+DH221+DH222+DH223+DH224+DH225</f>
        <v>0</v>
      </c>
      <c r="DI226" s="1" t="s">
        <v>2932</v>
      </c>
      <c r="DJ226" s="170">
        <f>DJ217+DJ218+DJ219+DJ220+DJ221+DJ222+DJ223+DJ224+DJ225</f>
        <v>0</v>
      </c>
      <c r="DK226" s="182"/>
      <c r="DM226" s="2"/>
      <c r="DN226" s="37" t="s">
        <v>2400</v>
      </c>
      <c r="DO226" s="37" t="s">
        <v>2400</v>
      </c>
      <c r="DP226" s="37" t="s">
        <v>2400</v>
      </c>
      <c r="DQ226" s="37" t="s">
        <v>3485</v>
      </c>
      <c r="DR226" s="37" t="s">
        <v>2401</v>
      </c>
      <c r="DS226" s="22"/>
      <c r="DT226" s="6"/>
      <c r="DZ226" s="48"/>
      <c r="EL226" s="3"/>
      <c r="EM226" s="3"/>
      <c r="FK226" s="135"/>
      <c r="FY226" s="2"/>
      <c r="FZ226" s="37" t="s">
        <v>3230</v>
      </c>
      <c r="GA226" s="37" t="s">
        <v>3230</v>
      </c>
      <c r="GB226" s="37" t="s">
        <v>3230</v>
      </c>
      <c r="GC226" s="37" t="s">
        <v>3987</v>
      </c>
      <c r="GD226" s="37" t="s">
        <v>2392</v>
      </c>
      <c r="GF226" s="22"/>
      <c r="GL226" s="48"/>
      <c r="HJ226" s="48"/>
      <c r="IG226" s="1"/>
      <c r="IH226" s="1"/>
      <c r="II226" s="1"/>
      <c r="IJ226" s="1"/>
      <c r="IK226" s="1"/>
      <c r="IL226" s="1"/>
      <c r="IM226" s="1"/>
      <c r="IN226" s="1"/>
      <c r="IO226" s="1"/>
      <c r="IP226" s="1"/>
      <c r="IQ226" s="1"/>
      <c r="IR226" s="1"/>
      <c r="IS226" s="1"/>
      <c r="IT226" s="1"/>
      <c r="IU226" s="1"/>
      <c r="IV226" s="1"/>
      <c r="IW226" s="1"/>
      <c r="IX226" s="1"/>
      <c r="IY226" s="1"/>
      <c r="IZ226" s="1"/>
      <c r="JA226" s="1"/>
      <c r="JB226" s="1"/>
      <c r="JC226" s="1"/>
      <c r="JD226" s="135"/>
    </row>
    <row r="227" spans="9:264">
      <c r="I227" s="22"/>
      <c r="J227" s="156" t="s">
        <v>718</v>
      </c>
      <c r="K227" s="156" t="s">
        <v>718</v>
      </c>
      <c r="L227" s="22">
        <v>23</v>
      </c>
      <c r="M227" s="22">
        <v>59</v>
      </c>
      <c r="N227" s="22">
        <v>18.7</v>
      </c>
      <c r="O227" s="22">
        <v>6</v>
      </c>
      <c r="P227" s="22">
        <v>48</v>
      </c>
      <c r="Q227" s="22">
        <v>48</v>
      </c>
      <c r="R227" s="22" t="s">
        <v>719</v>
      </c>
      <c r="S227" s="22" t="s">
        <v>720</v>
      </c>
      <c r="AS227" s="3"/>
      <c r="BD227" s="97"/>
      <c r="CJ227" s="123"/>
      <c r="CR227" s="138"/>
      <c r="CW227" s="170"/>
      <c r="DC227" s="182"/>
      <c r="DG227" s="1" t="s">
        <v>2934</v>
      </c>
      <c r="DH227" s="406">
        <f>DH226-DJ226</f>
        <v>0</v>
      </c>
      <c r="DK227" s="182"/>
      <c r="DM227" s="2"/>
      <c r="DN227" s="37" t="s">
        <v>3487</v>
      </c>
      <c r="DO227" s="37" t="s">
        <v>3487</v>
      </c>
      <c r="DP227" s="37" t="s">
        <v>2405</v>
      </c>
      <c r="DQ227" s="37" t="s">
        <v>3488</v>
      </c>
      <c r="DR227" s="37" t="s">
        <v>2406</v>
      </c>
      <c r="DS227" s="22"/>
      <c r="DT227" s="6"/>
      <c r="DZ227" s="48"/>
      <c r="EL227" s="3"/>
      <c r="EM227" s="3"/>
      <c r="FK227" s="135"/>
      <c r="FY227" s="2"/>
      <c r="FZ227" s="37" t="s">
        <v>3484</v>
      </c>
      <c r="GA227" s="37" t="s">
        <v>3484</v>
      </c>
      <c r="GB227" s="37" t="s">
        <v>2400</v>
      </c>
      <c r="GC227" s="37" t="s">
        <v>3988</v>
      </c>
      <c r="GD227" s="37" t="s">
        <v>2403</v>
      </c>
      <c r="GF227" s="22"/>
      <c r="GL227" s="48"/>
      <c r="HJ227" s="48"/>
      <c r="IG227" s="1"/>
      <c r="IH227" s="1"/>
      <c r="II227" s="1"/>
      <c r="IJ227" s="1"/>
      <c r="IK227" s="1"/>
      <c r="IL227" s="1"/>
      <c r="IM227" s="1"/>
      <c r="IN227" s="1"/>
      <c r="IO227" s="1"/>
      <c r="IP227" s="1"/>
      <c r="IQ227" s="1"/>
      <c r="IR227" s="1"/>
      <c r="IS227" s="1"/>
      <c r="IT227" s="1"/>
      <c r="IU227" s="1"/>
      <c r="IV227" s="1"/>
      <c r="IW227" s="1"/>
      <c r="IX227" s="1"/>
      <c r="IY227" s="1"/>
      <c r="IZ227" s="1"/>
      <c r="JA227" s="1"/>
      <c r="JB227" s="1"/>
      <c r="JC227" s="1"/>
      <c r="JD227" s="135"/>
    </row>
    <row r="228" spans="9:264">
      <c r="I228" s="24" t="s">
        <v>721</v>
      </c>
      <c r="J228" s="157" t="s">
        <v>722</v>
      </c>
      <c r="K228" s="157" t="s">
        <v>722</v>
      </c>
      <c r="L228" s="24" t="s">
        <v>39</v>
      </c>
      <c r="M228" s="24" t="s">
        <v>723</v>
      </c>
      <c r="N228" s="24" t="s">
        <v>724</v>
      </c>
      <c r="O228" s="24" t="s">
        <v>40</v>
      </c>
      <c r="P228" s="24" t="s">
        <v>725</v>
      </c>
      <c r="Q228" s="24" t="s">
        <v>726</v>
      </c>
      <c r="R228" s="24" t="s">
        <v>727</v>
      </c>
      <c r="S228" s="27" t="s">
        <v>725</v>
      </c>
      <c r="AS228" s="3"/>
      <c r="BD228" s="97"/>
      <c r="CJ228" s="123"/>
      <c r="CR228" s="138"/>
      <c r="CW228" s="170"/>
      <c r="DC228" s="182"/>
      <c r="DD228" s="175"/>
      <c r="DE228" s="175" t="s">
        <v>3000</v>
      </c>
      <c r="DF228" s="65">
        <f>DF254</f>
        <v>0</v>
      </c>
      <c r="DH228" s="175"/>
      <c r="DK228" s="182"/>
      <c r="DM228" s="2"/>
      <c r="DN228" s="37" t="s">
        <v>2405</v>
      </c>
      <c r="DO228" s="37" t="s">
        <v>2405</v>
      </c>
      <c r="DP228" s="37" t="s">
        <v>2405</v>
      </c>
      <c r="DQ228" s="37" t="s">
        <v>3488</v>
      </c>
      <c r="DR228" s="37" t="s">
        <v>2406</v>
      </c>
      <c r="DS228" s="22"/>
      <c r="DT228" s="6"/>
      <c r="DZ228" s="48"/>
      <c r="EL228" s="3"/>
      <c r="EM228" s="3"/>
      <c r="FK228" s="135"/>
      <c r="FY228" s="2"/>
      <c r="FZ228" s="37" t="s">
        <v>3231</v>
      </c>
      <c r="GA228" s="37" t="s">
        <v>3231</v>
      </c>
      <c r="GB228" s="37" t="s">
        <v>2400</v>
      </c>
      <c r="GC228" s="37" t="s">
        <v>3988</v>
      </c>
      <c r="GD228" s="37" t="s">
        <v>2403</v>
      </c>
      <c r="GF228" s="22"/>
      <c r="GL228" s="48"/>
      <c r="HJ228" s="48"/>
      <c r="IG228" s="1"/>
      <c r="IH228" s="1"/>
      <c r="II228" s="1"/>
      <c r="IJ228" s="1"/>
      <c r="IK228" s="1"/>
      <c r="IL228" s="1"/>
      <c r="IM228" s="1"/>
      <c r="IN228" s="1"/>
      <c r="IO228" s="1"/>
      <c r="IP228" s="1"/>
      <c r="IQ228" s="1"/>
      <c r="IR228" s="1"/>
      <c r="IS228" s="1"/>
      <c r="IT228" s="1"/>
      <c r="IU228" s="1"/>
      <c r="IV228" s="1"/>
      <c r="IW228" s="1"/>
      <c r="IX228" s="1"/>
      <c r="IY228" s="1"/>
      <c r="IZ228" s="1"/>
      <c r="JA228" s="1"/>
      <c r="JB228" s="1"/>
      <c r="JC228" s="1"/>
      <c r="JD228" s="135"/>
    </row>
    <row r="229" spans="9:264">
      <c r="I229" s="22"/>
      <c r="J229" s="156" t="s">
        <v>728</v>
      </c>
      <c r="K229" s="156" t="s">
        <v>728</v>
      </c>
      <c r="L229" s="22">
        <v>22</v>
      </c>
      <c r="M229" s="22">
        <v>57</v>
      </c>
      <c r="N229" s="22">
        <v>39.1</v>
      </c>
      <c r="O229" s="22">
        <v>-29</v>
      </c>
      <c r="P229" s="22">
        <v>-37</v>
      </c>
      <c r="Q229" s="22">
        <v>-20</v>
      </c>
      <c r="R229" s="22" t="s">
        <v>729</v>
      </c>
      <c r="S229" s="23" t="s">
        <v>730</v>
      </c>
      <c r="AS229" s="3"/>
      <c r="BD229" s="97"/>
      <c r="CR229" s="138"/>
      <c r="CW229" s="170"/>
      <c r="DC229" s="182"/>
      <c r="DE229" s="402" t="s">
        <v>3001</v>
      </c>
      <c r="DF229" s="195">
        <f>IF(DF228&lt;10,DF228,DH227)</f>
        <v>0</v>
      </c>
      <c r="DG229" s="403" t="s">
        <v>3002</v>
      </c>
      <c r="DH229" s="402"/>
      <c r="DI229" s="402"/>
      <c r="DJ229" s="402"/>
      <c r="DK229" s="182"/>
      <c r="DM229" s="2"/>
      <c r="DN229" s="37" t="s">
        <v>3489</v>
      </c>
      <c r="DO229" s="37" t="s">
        <v>3489</v>
      </c>
      <c r="DP229" s="37" t="s">
        <v>2417</v>
      </c>
      <c r="DQ229" s="37" t="s">
        <v>3490</v>
      </c>
      <c r="DR229" s="37" t="s">
        <v>2418</v>
      </c>
      <c r="DS229" s="22"/>
      <c r="DT229" s="6"/>
      <c r="DZ229" s="48"/>
      <c r="EL229" s="3"/>
      <c r="EM229" s="3"/>
      <c r="FK229" s="135"/>
      <c r="FY229" s="2"/>
      <c r="FZ229" s="37" t="s">
        <v>3486</v>
      </c>
      <c r="GA229" s="37" t="s">
        <v>3486</v>
      </c>
      <c r="GB229" s="37" t="s">
        <v>2400</v>
      </c>
      <c r="GC229" s="37" t="s">
        <v>3988</v>
      </c>
      <c r="GD229" s="37" t="s">
        <v>2403</v>
      </c>
      <c r="GF229" s="22"/>
      <c r="GL229" s="48"/>
      <c r="HJ229" s="48"/>
      <c r="IG229" s="1"/>
      <c r="IH229" s="1"/>
      <c r="II229" s="1"/>
      <c r="IJ229" s="1"/>
      <c r="IK229" s="1"/>
      <c r="IL229" s="1"/>
      <c r="IM229" s="1"/>
      <c r="IN229" s="1"/>
      <c r="IO229" s="1"/>
      <c r="IP229" s="1"/>
      <c r="IQ229" s="1"/>
      <c r="IR229" s="1"/>
      <c r="IS229" s="1"/>
      <c r="IT229" s="1"/>
      <c r="IU229" s="1"/>
      <c r="IV229" s="1"/>
      <c r="IW229" s="1"/>
      <c r="IX229" s="1"/>
      <c r="IY229" s="1"/>
      <c r="IZ229" s="1"/>
      <c r="JA229" s="1"/>
      <c r="JB229" s="1"/>
      <c r="JC229" s="1"/>
      <c r="JD229" s="135"/>
    </row>
    <row r="230" spans="9:264">
      <c r="I230" s="22"/>
      <c r="J230" s="156" t="s">
        <v>731</v>
      </c>
      <c r="K230" s="156" t="s">
        <v>731</v>
      </c>
      <c r="L230" s="22">
        <v>22</v>
      </c>
      <c r="M230" s="22">
        <v>31</v>
      </c>
      <c r="N230" s="22">
        <v>30.4</v>
      </c>
      <c r="O230" s="22">
        <v>-32</v>
      </c>
      <c r="P230" s="22">
        <v>-20</v>
      </c>
      <c r="Q230" s="22">
        <v>-45</v>
      </c>
      <c r="R230" s="22" t="s">
        <v>732</v>
      </c>
      <c r="S230" s="23" t="s">
        <v>733</v>
      </c>
      <c r="AS230" s="3"/>
      <c r="BD230" s="97"/>
      <c r="CR230" s="138"/>
      <c r="CW230" s="170"/>
      <c r="DC230" s="182"/>
      <c r="DE230" s="1" t="s">
        <v>2953</v>
      </c>
      <c r="DF230" s="404">
        <f>IF(DF229&lt;10,DF229,0)</f>
        <v>0</v>
      </c>
      <c r="DG230" s="1" t="s">
        <v>2931</v>
      </c>
      <c r="DH230" s="1">
        <f t="shared" ref="DH230:DH238" si="13">IF(DF231=0,DF230,0)</f>
        <v>0</v>
      </c>
      <c r="DI230" s="1" t="s">
        <v>2954</v>
      </c>
      <c r="DJ230" s="170">
        <f>IF(DH230&gt;0,9,0)</f>
        <v>0</v>
      </c>
      <c r="DK230" s="182"/>
      <c r="DM230" s="2"/>
      <c r="DN230" s="37" t="s">
        <v>2417</v>
      </c>
      <c r="DO230" s="37" t="s">
        <v>2417</v>
      </c>
      <c r="DP230" s="37" t="s">
        <v>2417</v>
      </c>
      <c r="DQ230" s="37" t="s">
        <v>3490</v>
      </c>
      <c r="DR230" s="37" t="s">
        <v>2418</v>
      </c>
      <c r="DS230" s="22"/>
      <c r="DT230" s="6"/>
      <c r="DZ230" s="48"/>
      <c r="EL230" s="3"/>
      <c r="EM230" s="3"/>
      <c r="FK230" s="135"/>
      <c r="FY230" s="2"/>
      <c r="FZ230" s="37" t="s">
        <v>2400</v>
      </c>
      <c r="GA230" s="37" t="s">
        <v>2400</v>
      </c>
      <c r="GB230" s="37" t="s">
        <v>2400</v>
      </c>
      <c r="GC230" s="37" t="s">
        <v>3988</v>
      </c>
      <c r="GD230" s="37" t="s">
        <v>2403</v>
      </c>
      <c r="GF230" s="22"/>
      <c r="GL230" s="48"/>
      <c r="HJ230" s="48"/>
      <c r="IG230" s="1"/>
      <c r="IH230" s="1"/>
      <c r="II230" s="1"/>
      <c r="IJ230" s="1"/>
      <c r="IK230" s="1"/>
      <c r="IL230" s="1"/>
      <c r="IM230" s="1"/>
      <c r="IN230" s="1"/>
      <c r="IO230" s="1"/>
      <c r="IP230" s="1"/>
      <c r="IQ230" s="1"/>
      <c r="IR230" s="1"/>
      <c r="IS230" s="1"/>
      <c r="IT230" s="1"/>
      <c r="IU230" s="1"/>
      <c r="IV230" s="1"/>
      <c r="IW230" s="1"/>
      <c r="IX230" s="1"/>
      <c r="IY230" s="1"/>
      <c r="IZ230" s="1"/>
      <c r="JA230" s="1"/>
      <c r="JB230" s="1"/>
      <c r="JC230" s="1"/>
      <c r="JD230" s="135"/>
    </row>
    <row r="231" spans="9:264">
      <c r="I231" s="22"/>
      <c r="J231" s="156" t="s">
        <v>734</v>
      </c>
      <c r="K231" s="156" t="s">
        <v>734</v>
      </c>
      <c r="L231" s="22">
        <v>22</v>
      </c>
      <c r="M231" s="22">
        <v>52</v>
      </c>
      <c r="N231" s="22">
        <v>31.6</v>
      </c>
      <c r="O231" s="22">
        <v>-32</v>
      </c>
      <c r="P231" s="22">
        <v>-52</v>
      </c>
      <c r="Q231" s="22">
        <v>-32</v>
      </c>
      <c r="R231" s="22" t="s">
        <v>735</v>
      </c>
      <c r="S231" s="23" t="s">
        <v>736</v>
      </c>
      <c r="AS231" s="3"/>
      <c r="BD231" s="97"/>
      <c r="CR231" s="138"/>
      <c r="CW231" s="170"/>
      <c r="DC231" s="182"/>
      <c r="DE231" s="1" t="s">
        <v>2955</v>
      </c>
      <c r="DF231" s="404">
        <f>IF(DF229&lt;9,DF229,0)</f>
        <v>0</v>
      </c>
      <c r="DG231" s="1" t="s">
        <v>2931</v>
      </c>
      <c r="DH231" s="1">
        <f t="shared" si="13"/>
        <v>0</v>
      </c>
      <c r="DI231" s="1" t="s">
        <v>2956</v>
      </c>
      <c r="DJ231" s="170">
        <f>IF(DH231&gt;0,8,0)</f>
        <v>0</v>
      </c>
      <c r="DK231" s="182"/>
      <c r="DM231" s="2"/>
      <c r="DN231" s="37" t="s">
        <v>3491</v>
      </c>
      <c r="DO231" s="37" t="s">
        <v>3491</v>
      </c>
      <c r="DP231" s="37" t="s">
        <v>2522</v>
      </c>
      <c r="DQ231" s="37" t="s">
        <v>3492</v>
      </c>
      <c r="DR231" s="37" t="s">
        <v>2523</v>
      </c>
      <c r="DS231" s="22"/>
      <c r="DT231" s="6"/>
      <c r="DZ231" s="48"/>
      <c r="EL231" s="3"/>
      <c r="EM231" s="3"/>
      <c r="FK231" s="135"/>
      <c r="FY231" s="2"/>
      <c r="FZ231" s="37" t="s">
        <v>3487</v>
      </c>
      <c r="GA231" s="37" t="s">
        <v>3487</v>
      </c>
      <c r="GB231" s="37" t="s">
        <v>2405</v>
      </c>
      <c r="GC231" s="37" t="s">
        <v>3989</v>
      </c>
      <c r="GD231" s="37" t="s">
        <v>2409</v>
      </c>
      <c r="GF231" s="22"/>
      <c r="GL231" s="48"/>
      <c r="HJ231" s="48"/>
      <c r="IG231" s="1"/>
      <c r="IH231" s="1"/>
      <c r="II231" s="1"/>
      <c r="IJ231" s="1"/>
      <c r="IK231" s="1"/>
      <c r="IL231" s="1"/>
      <c r="IM231" s="1"/>
      <c r="IN231" s="1"/>
      <c r="IO231" s="1"/>
      <c r="IP231" s="1"/>
      <c r="IQ231" s="1"/>
      <c r="IR231" s="1"/>
      <c r="IS231" s="1"/>
      <c r="IT231" s="1"/>
      <c r="IU231" s="1"/>
      <c r="IV231" s="1"/>
      <c r="IW231" s="1"/>
      <c r="IX231" s="1"/>
      <c r="IY231" s="1"/>
      <c r="IZ231" s="1"/>
      <c r="JA231" s="1"/>
      <c r="JB231" s="1"/>
      <c r="JC231" s="1"/>
      <c r="JD231" s="135"/>
    </row>
    <row r="232" spans="9:264">
      <c r="I232" s="22"/>
      <c r="J232" s="156" t="s">
        <v>737</v>
      </c>
      <c r="K232" s="156" t="s">
        <v>737</v>
      </c>
      <c r="L232" s="22">
        <v>22</v>
      </c>
      <c r="M232" s="22">
        <v>55</v>
      </c>
      <c r="N232" s="22">
        <v>55.9</v>
      </c>
      <c r="O232" s="22">
        <v>-32</v>
      </c>
      <c r="P232" s="22">
        <v>-32</v>
      </c>
      <c r="Q232" s="22">
        <v>-23</v>
      </c>
      <c r="R232" s="22" t="s">
        <v>738</v>
      </c>
      <c r="S232" s="23" t="s">
        <v>739</v>
      </c>
      <c r="V232" s="5"/>
      <c r="W232" s="5"/>
      <c r="X232" s="283" t="s">
        <v>3101</v>
      </c>
      <c r="Y232" s="5"/>
      <c r="Z232" s="342"/>
      <c r="AA232" s="5"/>
      <c r="AB232" s="5"/>
      <c r="AC232" s="5"/>
      <c r="AD232" s="5"/>
      <c r="AE232" s="5"/>
      <c r="AF232" s="5"/>
      <c r="AG232" s="5"/>
      <c r="AI232" s="5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BD232" s="97"/>
      <c r="CR232" s="138"/>
      <c r="CW232" s="170"/>
      <c r="DC232" s="182"/>
      <c r="DE232" s="1" t="s">
        <v>2957</v>
      </c>
      <c r="DF232" s="404">
        <f>IF(DF229&lt;8,DF229,0)</f>
        <v>0</v>
      </c>
      <c r="DG232" s="1" t="s">
        <v>2931</v>
      </c>
      <c r="DH232" s="1">
        <f t="shared" si="13"/>
        <v>0</v>
      </c>
      <c r="DI232" s="1" t="s">
        <v>2958</v>
      </c>
      <c r="DJ232" s="170">
        <f>IF(DH232&gt;0,7,0)</f>
        <v>0</v>
      </c>
      <c r="DK232" s="182"/>
      <c r="DM232" s="2"/>
      <c r="DN232" s="37" t="s">
        <v>2522</v>
      </c>
      <c r="DO232" s="37" t="s">
        <v>2522</v>
      </c>
      <c r="DP232" s="37" t="s">
        <v>2522</v>
      </c>
      <c r="DQ232" s="37" t="s">
        <v>3492</v>
      </c>
      <c r="DR232" s="37" t="s">
        <v>2523</v>
      </c>
      <c r="DS232" s="22"/>
      <c r="DT232" s="6"/>
      <c r="DZ232" s="48"/>
      <c r="EL232" s="3"/>
      <c r="EM232" s="3"/>
      <c r="FK232" s="135"/>
      <c r="FY232" s="2"/>
      <c r="FZ232" s="37" t="s">
        <v>2405</v>
      </c>
      <c r="GA232" s="37" t="s">
        <v>2405</v>
      </c>
      <c r="GB232" s="37" t="s">
        <v>2405</v>
      </c>
      <c r="GC232" s="37" t="s">
        <v>3989</v>
      </c>
      <c r="GD232" s="37" t="s">
        <v>2409</v>
      </c>
      <c r="GF232" s="22"/>
      <c r="GL232" s="48"/>
      <c r="HJ232" s="48"/>
      <c r="IG232" s="1"/>
      <c r="IH232" s="1"/>
      <c r="II232" s="1"/>
      <c r="IJ232" s="1"/>
      <c r="IK232" s="1"/>
      <c r="IL232" s="1"/>
      <c r="IM232" s="1"/>
      <c r="IN232" s="1"/>
      <c r="IO232" s="1"/>
      <c r="IP232" s="1"/>
      <c r="IQ232" s="1"/>
      <c r="IR232" s="1"/>
      <c r="IS232" s="1"/>
      <c r="IT232" s="1"/>
      <c r="IU232" s="1"/>
      <c r="IV232" s="1"/>
      <c r="IW232" s="1"/>
      <c r="IX232" s="1"/>
      <c r="IY232" s="1"/>
      <c r="IZ232" s="1"/>
      <c r="JA232" s="1"/>
      <c r="JB232" s="1"/>
      <c r="JC232" s="1"/>
      <c r="JD232" s="135"/>
    </row>
    <row r="233" spans="9:264">
      <c r="I233" s="22"/>
      <c r="J233" s="156" t="s">
        <v>740</v>
      </c>
      <c r="K233" s="156" t="s">
        <v>740</v>
      </c>
      <c r="L233" s="22">
        <v>22</v>
      </c>
      <c r="M233" s="22">
        <v>40</v>
      </c>
      <c r="N233" s="22">
        <v>39.299999999999997</v>
      </c>
      <c r="O233" s="22">
        <v>-27</v>
      </c>
      <c r="P233" s="22">
        <v>-2</v>
      </c>
      <c r="Q233" s="22">
        <v>-37</v>
      </c>
      <c r="R233" s="22" t="s">
        <v>741</v>
      </c>
      <c r="S233" s="23" t="s">
        <v>742</v>
      </c>
      <c r="AS233" s="3"/>
      <c r="BD233" s="97"/>
      <c r="DC233" s="182"/>
      <c r="DE233" s="1" t="s">
        <v>2959</v>
      </c>
      <c r="DF233" s="404">
        <f>IF(DF229&lt;7,DF229,0)</f>
        <v>0</v>
      </c>
      <c r="DG233" s="1" t="s">
        <v>2931</v>
      </c>
      <c r="DH233" s="1">
        <f t="shared" si="13"/>
        <v>0</v>
      </c>
      <c r="DI233" s="1" t="s">
        <v>2960</v>
      </c>
      <c r="DJ233" s="170">
        <f>IF(DH233&gt;0,6,0)</f>
        <v>0</v>
      </c>
      <c r="DK233" s="182"/>
      <c r="DM233" s="2"/>
      <c r="DN233" s="37" t="s">
        <v>3493</v>
      </c>
      <c r="DO233" s="37" t="s">
        <v>3493</v>
      </c>
      <c r="DP233" s="37" t="s">
        <v>2542</v>
      </c>
      <c r="DQ233" s="37" t="s">
        <v>3494</v>
      </c>
      <c r="DR233" s="37" t="s">
        <v>2543</v>
      </c>
      <c r="DS233" s="22"/>
      <c r="DT233" s="6"/>
      <c r="DZ233" s="48"/>
      <c r="EL233" s="3"/>
      <c r="EM233" s="3"/>
      <c r="FK233" s="135"/>
      <c r="FY233" s="2"/>
      <c r="FZ233" s="37" t="s">
        <v>3489</v>
      </c>
      <c r="GA233" s="37" t="s">
        <v>3489</v>
      </c>
      <c r="GB233" s="37" t="s">
        <v>2417</v>
      </c>
      <c r="GC233" s="37" t="s">
        <v>3990</v>
      </c>
      <c r="GD233" s="37" t="s">
        <v>2420</v>
      </c>
      <c r="GF233" s="22"/>
      <c r="GL233" s="48"/>
      <c r="HJ233" s="48"/>
      <c r="IG233" s="1"/>
      <c r="IH233" s="1"/>
      <c r="II233" s="1"/>
      <c r="IJ233" s="1"/>
      <c r="IK233" s="1"/>
      <c r="IL233" s="1"/>
      <c r="IM233" s="1"/>
      <c r="IN233" s="1"/>
      <c r="IO233" s="1"/>
      <c r="IP233" s="1"/>
      <c r="IQ233" s="1"/>
      <c r="IR233" s="1"/>
      <c r="IS233" s="1"/>
      <c r="IT233" s="1"/>
      <c r="IU233" s="1"/>
      <c r="IV233" s="1"/>
      <c r="IW233" s="1"/>
      <c r="IX233" s="1"/>
      <c r="IY233" s="1"/>
      <c r="IZ233" s="1"/>
      <c r="JA233" s="1"/>
      <c r="JB233" s="1"/>
      <c r="JC233" s="1"/>
      <c r="JD233" s="135"/>
    </row>
    <row r="234" spans="9:264">
      <c r="I234" s="24" t="s">
        <v>743</v>
      </c>
      <c r="J234" s="157" t="s">
        <v>744</v>
      </c>
      <c r="K234" s="157" t="s">
        <v>744</v>
      </c>
      <c r="L234" s="24" t="s">
        <v>39</v>
      </c>
      <c r="M234" s="24" t="s">
        <v>745</v>
      </c>
      <c r="N234" s="24" t="s">
        <v>746</v>
      </c>
      <c r="O234" s="24" t="s">
        <v>747</v>
      </c>
      <c r="P234" s="24" t="s">
        <v>748</v>
      </c>
      <c r="Q234" s="24" t="s">
        <v>749</v>
      </c>
      <c r="R234" s="24" t="s">
        <v>750</v>
      </c>
      <c r="S234" s="27" t="s">
        <v>751</v>
      </c>
      <c r="AS234" s="3"/>
      <c r="BD234" s="97"/>
      <c r="DC234" s="182"/>
      <c r="DE234" s="1" t="s">
        <v>2961</v>
      </c>
      <c r="DF234" s="404">
        <f>IF(DF229&lt;6,DF229,0)</f>
        <v>0</v>
      </c>
      <c r="DG234" s="1" t="s">
        <v>2931</v>
      </c>
      <c r="DH234" s="1">
        <f t="shared" si="13"/>
        <v>0</v>
      </c>
      <c r="DI234" s="1" t="s">
        <v>2962</v>
      </c>
      <c r="DJ234" s="170">
        <f>IF(DH234&gt;0,5,0)</f>
        <v>0</v>
      </c>
      <c r="DK234" s="182"/>
      <c r="DM234" s="2"/>
      <c r="DN234" s="37" t="s">
        <v>2542</v>
      </c>
      <c r="DO234" s="37" t="s">
        <v>2542</v>
      </c>
      <c r="DP234" s="37" t="s">
        <v>2542</v>
      </c>
      <c r="DQ234" s="37" t="s">
        <v>3494</v>
      </c>
      <c r="DR234" s="37" t="s">
        <v>2543</v>
      </c>
      <c r="DS234" s="22"/>
      <c r="DT234" s="6"/>
      <c r="DZ234" s="48"/>
      <c r="EL234" s="3"/>
      <c r="EM234" s="3"/>
      <c r="FK234" s="135"/>
      <c r="FY234" s="2"/>
      <c r="FZ234" s="37" t="s">
        <v>2417</v>
      </c>
      <c r="GA234" s="37" t="s">
        <v>2417</v>
      </c>
      <c r="GB234" s="37" t="s">
        <v>2417</v>
      </c>
      <c r="GC234" s="37" t="s">
        <v>3991</v>
      </c>
      <c r="GD234" s="37" t="s">
        <v>2420</v>
      </c>
      <c r="GF234" s="22"/>
      <c r="GL234" s="48"/>
      <c r="HJ234" s="48"/>
      <c r="IG234" s="1"/>
      <c r="IH234" s="1"/>
      <c r="II234" s="1"/>
      <c r="IJ234" s="1"/>
      <c r="IK234" s="1"/>
      <c r="IL234" s="1"/>
      <c r="IM234" s="1"/>
      <c r="IN234" s="1"/>
      <c r="IO234" s="1"/>
      <c r="IP234" s="1"/>
      <c r="IQ234" s="1"/>
      <c r="IR234" s="1"/>
      <c r="IS234" s="1"/>
      <c r="IT234" s="1"/>
      <c r="IU234" s="1"/>
      <c r="IV234" s="1"/>
      <c r="IW234" s="1"/>
      <c r="IX234" s="1"/>
      <c r="IY234" s="1"/>
      <c r="IZ234" s="1"/>
      <c r="JA234" s="1"/>
      <c r="JB234" s="1"/>
      <c r="JC234" s="1"/>
      <c r="JD234" s="135"/>
    </row>
    <row r="235" spans="9:264">
      <c r="I235" s="22"/>
      <c r="J235" s="156" t="s">
        <v>752</v>
      </c>
      <c r="K235" s="156" t="s">
        <v>752</v>
      </c>
      <c r="L235" s="22">
        <v>4</v>
      </c>
      <c r="M235" s="22">
        <v>54</v>
      </c>
      <c r="N235" s="22">
        <v>3</v>
      </c>
      <c r="O235" s="22">
        <v>66</v>
      </c>
      <c r="P235" s="22">
        <v>20</v>
      </c>
      <c r="Q235" s="22">
        <v>34</v>
      </c>
      <c r="R235" s="22" t="s">
        <v>753</v>
      </c>
      <c r="S235" s="23" t="s">
        <v>754</v>
      </c>
      <c r="AS235" s="3"/>
      <c r="BD235" s="97"/>
      <c r="DC235" s="182"/>
      <c r="DE235" s="1" t="s">
        <v>2963</v>
      </c>
      <c r="DF235" s="404">
        <f>IF(DF229&lt;5,DF229,0)</f>
        <v>0</v>
      </c>
      <c r="DG235" s="1" t="s">
        <v>2931</v>
      </c>
      <c r="DH235" s="1">
        <f t="shared" si="13"/>
        <v>0</v>
      </c>
      <c r="DI235" s="1" t="s">
        <v>2964</v>
      </c>
      <c r="DJ235" s="170">
        <f>IF(DH235&gt;0,4,0)</f>
        <v>0</v>
      </c>
      <c r="DK235" s="182"/>
      <c r="DM235" s="2"/>
      <c r="DN235" s="37" t="s">
        <v>3495</v>
      </c>
      <c r="DO235" s="37" t="s">
        <v>3495</v>
      </c>
      <c r="DP235" s="37" t="s">
        <v>3232</v>
      </c>
      <c r="DQ235" s="37" t="s">
        <v>3496</v>
      </c>
      <c r="DR235" s="37" t="s">
        <v>2587</v>
      </c>
      <c r="DS235" s="22"/>
      <c r="DT235" s="175"/>
      <c r="DZ235" s="48"/>
      <c r="EL235" s="3"/>
      <c r="EM235" s="3"/>
      <c r="FK235" s="135"/>
      <c r="FY235" s="2"/>
      <c r="FZ235" s="37" t="s">
        <v>3491</v>
      </c>
      <c r="GA235" s="37" t="s">
        <v>3491</v>
      </c>
      <c r="GB235" s="37" t="s">
        <v>2522</v>
      </c>
      <c r="GC235" s="37" t="s">
        <v>3992</v>
      </c>
      <c r="GD235" s="37" t="s">
        <v>2525</v>
      </c>
      <c r="GF235" s="22"/>
      <c r="GL235" s="48"/>
      <c r="HJ235" s="48"/>
      <c r="IG235" s="1"/>
      <c r="IH235" s="1"/>
      <c r="II235" s="1"/>
      <c r="IJ235" s="1"/>
      <c r="IK235" s="1"/>
      <c r="IL235" s="1"/>
      <c r="IM235" s="1"/>
      <c r="IN235" s="1"/>
      <c r="IO235" s="1"/>
      <c r="IP235" s="1"/>
      <c r="IQ235" s="1"/>
      <c r="IR235" s="1"/>
      <c r="IS235" s="1"/>
      <c r="IT235" s="1"/>
      <c r="IU235" s="1"/>
      <c r="IV235" s="1"/>
      <c r="IW235" s="1"/>
      <c r="IX235" s="1"/>
      <c r="IY235" s="1"/>
      <c r="IZ235" s="1"/>
      <c r="JA235" s="1"/>
      <c r="JB235" s="1"/>
      <c r="JC235" s="1"/>
      <c r="JD235" s="135"/>
    </row>
    <row r="236" spans="9:264">
      <c r="I236" s="22"/>
      <c r="J236" s="156" t="s">
        <v>755</v>
      </c>
      <c r="K236" s="156" t="s">
        <v>755</v>
      </c>
      <c r="L236" s="22">
        <v>5</v>
      </c>
      <c r="M236" s="22">
        <v>3</v>
      </c>
      <c r="N236" s="22">
        <v>25.1</v>
      </c>
      <c r="O236" s="22">
        <v>60</v>
      </c>
      <c r="P236" s="22">
        <v>26</v>
      </c>
      <c r="Q236" s="22">
        <v>32</v>
      </c>
      <c r="R236" s="22" t="s">
        <v>756</v>
      </c>
      <c r="S236" s="23" t="s">
        <v>757</v>
      </c>
      <c r="AS236" s="3"/>
      <c r="BD236" s="97"/>
      <c r="DC236" s="182"/>
      <c r="DE236" s="1" t="s">
        <v>2965</v>
      </c>
      <c r="DF236" s="404">
        <f>IF(DF229&lt;4,DF229,0)</f>
        <v>0</v>
      </c>
      <c r="DG236" s="1" t="s">
        <v>2931</v>
      </c>
      <c r="DH236" s="1">
        <f t="shared" si="13"/>
        <v>0</v>
      </c>
      <c r="DI236" s="1" t="s">
        <v>2966</v>
      </c>
      <c r="DJ236" s="170">
        <f>IF(DH236&gt;0,3,0)</f>
        <v>0</v>
      </c>
      <c r="DK236" s="182"/>
      <c r="DM236" s="2"/>
      <c r="DN236" s="37" t="s">
        <v>2586</v>
      </c>
      <c r="DO236" s="37" t="s">
        <v>2586</v>
      </c>
      <c r="DP236" s="37" t="s">
        <v>3232</v>
      </c>
      <c r="DQ236" s="37" t="s">
        <v>3496</v>
      </c>
      <c r="DR236" s="37" t="s">
        <v>2587</v>
      </c>
      <c r="DS236" s="22"/>
      <c r="DT236" s="6"/>
      <c r="DZ236" s="48"/>
      <c r="EL236" s="3"/>
      <c r="EM236" s="3"/>
      <c r="FK236" s="135"/>
      <c r="FY236" s="2"/>
      <c r="FZ236" s="37" t="s">
        <v>2522</v>
      </c>
      <c r="GA236" s="37" t="s">
        <v>2522</v>
      </c>
      <c r="GB236" s="37" t="s">
        <v>2522</v>
      </c>
      <c r="GC236" s="37" t="s">
        <v>3992</v>
      </c>
      <c r="GD236" s="37" t="s">
        <v>2525</v>
      </c>
      <c r="GF236" s="22"/>
      <c r="GL236" s="48"/>
      <c r="HJ236" s="48"/>
      <c r="IG236" s="1"/>
      <c r="IH236" s="1"/>
      <c r="II236" s="1"/>
      <c r="IJ236" s="1"/>
      <c r="IK236" s="1"/>
      <c r="IL236" s="1"/>
      <c r="IM236" s="1"/>
      <c r="IN236" s="1"/>
      <c r="IO236" s="1"/>
      <c r="IP236" s="1"/>
      <c r="IQ236" s="1"/>
      <c r="IR236" s="1"/>
      <c r="IS236" s="1"/>
      <c r="IT236" s="1"/>
      <c r="IU236" s="1"/>
      <c r="IV236" s="1"/>
      <c r="IW236" s="1"/>
      <c r="IX236" s="1"/>
      <c r="IY236" s="1"/>
      <c r="IZ236" s="1"/>
      <c r="JA236" s="1"/>
      <c r="JB236" s="1"/>
      <c r="JC236" s="1"/>
      <c r="JD236" s="135"/>
    </row>
    <row r="237" spans="9:264">
      <c r="I237" s="22"/>
      <c r="J237" s="156" t="s">
        <v>758</v>
      </c>
      <c r="K237" s="156" t="s">
        <v>758</v>
      </c>
      <c r="L237" s="22">
        <v>3</v>
      </c>
      <c r="M237" s="22">
        <v>50</v>
      </c>
      <c r="N237" s="22">
        <v>21.5</v>
      </c>
      <c r="O237" s="22">
        <v>71</v>
      </c>
      <c r="P237" s="22">
        <v>19</v>
      </c>
      <c r="Q237" s="22">
        <v>56</v>
      </c>
      <c r="R237" s="22" t="s">
        <v>759</v>
      </c>
      <c r="S237" s="23" t="s">
        <v>760</v>
      </c>
      <c r="AS237" s="3"/>
      <c r="BD237" s="97"/>
      <c r="DC237" s="182"/>
      <c r="DE237" s="1" t="s">
        <v>2967</v>
      </c>
      <c r="DF237" s="404">
        <f>IF(DF229&lt;3,DF229,0)</f>
        <v>0</v>
      </c>
      <c r="DG237" s="1" t="s">
        <v>2931</v>
      </c>
      <c r="DH237" s="1">
        <f t="shared" si="13"/>
        <v>0</v>
      </c>
      <c r="DI237" s="1" t="s">
        <v>2968</v>
      </c>
      <c r="DJ237" s="170">
        <f>IF(DH237&gt;0,2,0)</f>
        <v>0</v>
      </c>
      <c r="DK237" s="182"/>
      <c r="DM237" s="2"/>
      <c r="DN237" s="37" t="s">
        <v>3497</v>
      </c>
      <c r="DO237" s="37" t="s">
        <v>3497</v>
      </c>
      <c r="DP237" s="37" t="s">
        <v>3232</v>
      </c>
      <c r="DQ237" s="37" t="s">
        <v>3496</v>
      </c>
      <c r="DR237" s="37" t="s">
        <v>2587</v>
      </c>
      <c r="DS237" s="22"/>
      <c r="DT237" s="6"/>
      <c r="DZ237" s="48"/>
      <c r="EL237" s="3"/>
      <c r="EM237" s="3"/>
      <c r="FK237" s="135"/>
      <c r="FY237" s="2"/>
      <c r="FZ237" s="37" t="s">
        <v>3493</v>
      </c>
      <c r="GA237" s="37" t="s">
        <v>3493</v>
      </c>
      <c r="GB237" s="37" t="s">
        <v>2542</v>
      </c>
      <c r="GC237" s="37" t="s">
        <v>3993</v>
      </c>
      <c r="GD237" s="37" t="s">
        <v>2545</v>
      </c>
      <c r="GF237" s="22"/>
      <c r="GL237" s="48"/>
      <c r="HJ237" s="48"/>
      <c r="IG237" s="1"/>
      <c r="IH237" s="1"/>
      <c r="II237" s="1"/>
      <c r="IJ237" s="1"/>
      <c r="IK237" s="1"/>
      <c r="IL237" s="1"/>
      <c r="IM237" s="1"/>
      <c r="IN237" s="1"/>
      <c r="IO237" s="1"/>
      <c r="IP237" s="1"/>
      <c r="IQ237" s="1"/>
      <c r="IR237" s="1"/>
      <c r="IS237" s="1"/>
      <c r="IT237" s="1"/>
      <c r="IU237" s="1"/>
      <c r="IV237" s="1"/>
      <c r="IW237" s="1"/>
      <c r="IX237" s="1"/>
      <c r="IY237" s="1"/>
      <c r="IZ237" s="1"/>
      <c r="JA237" s="1"/>
      <c r="JB237" s="1"/>
      <c r="JC237" s="1"/>
      <c r="JD237" s="135"/>
    </row>
    <row r="238" spans="9:264">
      <c r="I238" s="24" t="s">
        <v>761</v>
      </c>
      <c r="J238" s="157" t="s">
        <v>762</v>
      </c>
      <c r="K238" s="157" t="s">
        <v>762</v>
      </c>
      <c r="L238" s="24" t="s">
        <v>39</v>
      </c>
      <c r="M238" s="24" t="s">
        <v>761</v>
      </c>
      <c r="N238" s="24" t="s">
        <v>761</v>
      </c>
      <c r="O238" s="24" t="s">
        <v>40</v>
      </c>
      <c r="P238" s="24" t="s">
        <v>763</v>
      </c>
      <c r="Q238" s="24" t="s">
        <v>764</v>
      </c>
      <c r="R238" s="24" t="s">
        <v>765</v>
      </c>
      <c r="S238" s="24" t="s">
        <v>763</v>
      </c>
      <c r="AS238" s="3"/>
      <c r="BD238" s="97"/>
      <c r="DC238" s="182"/>
      <c r="DE238" s="1" t="s">
        <v>2969</v>
      </c>
      <c r="DF238" s="404">
        <f>IF(DF229&lt;2,DF229,0)</f>
        <v>0</v>
      </c>
      <c r="DG238" s="1" t="s">
        <v>2931</v>
      </c>
      <c r="DH238" s="1">
        <f t="shared" si="13"/>
        <v>0</v>
      </c>
      <c r="DI238" s="1" t="s">
        <v>2970</v>
      </c>
      <c r="DJ238" s="170">
        <f>IF(DH238&gt;0,1,0)</f>
        <v>0</v>
      </c>
      <c r="DK238" s="182"/>
      <c r="DM238" s="2"/>
      <c r="DN238" s="37" t="s">
        <v>3232</v>
      </c>
      <c r="DO238" s="37" t="s">
        <v>3232</v>
      </c>
      <c r="DP238" s="37" t="s">
        <v>3232</v>
      </c>
      <c r="DQ238" s="37" t="s">
        <v>3496</v>
      </c>
      <c r="DR238" s="37" t="s">
        <v>2587</v>
      </c>
      <c r="DS238" s="22"/>
      <c r="DT238" s="6"/>
      <c r="DZ238" s="48"/>
      <c r="EL238" s="3"/>
      <c r="EM238" s="3"/>
      <c r="FK238" s="135"/>
      <c r="FY238" s="2"/>
      <c r="FZ238" s="37" t="s">
        <v>2542</v>
      </c>
      <c r="GA238" s="37" t="s">
        <v>2542</v>
      </c>
      <c r="GB238" s="37" t="s">
        <v>2542</v>
      </c>
      <c r="GC238" s="37" t="s">
        <v>3993</v>
      </c>
      <c r="GD238" s="37" t="s">
        <v>2545</v>
      </c>
      <c r="GF238" s="22"/>
      <c r="GL238" s="48"/>
      <c r="HJ238" s="48"/>
      <c r="IG238" s="1"/>
      <c r="IH238" s="1"/>
      <c r="II238" s="1"/>
      <c r="IJ238" s="1"/>
      <c r="IK238" s="1"/>
      <c r="IL238" s="1"/>
      <c r="IM238" s="1"/>
      <c r="IN238" s="1"/>
      <c r="IO238" s="1"/>
      <c r="IP238" s="1"/>
      <c r="IQ238" s="1"/>
      <c r="IR238" s="1"/>
      <c r="IS238" s="1"/>
      <c r="IT238" s="1"/>
      <c r="IU238" s="1"/>
      <c r="IV238" s="1"/>
      <c r="IW238" s="1"/>
      <c r="IX238" s="1"/>
      <c r="IY238" s="1"/>
      <c r="IZ238" s="1"/>
      <c r="JA238" s="1"/>
      <c r="JB238" s="1"/>
      <c r="JC238" s="1"/>
      <c r="JD238" s="135"/>
    </row>
    <row r="239" spans="9:264">
      <c r="I239" s="24" t="s">
        <v>766</v>
      </c>
      <c r="J239" s="157" t="s">
        <v>767</v>
      </c>
      <c r="K239" s="157" t="s">
        <v>767</v>
      </c>
      <c r="L239" s="24" t="s">
        <v>39</v>
      </c>
      <c r="M239" s="24" t="s">
        <v>766</v>
      </c>
      <c r="N239" s="24" t="s">
        <v>766</v>
      </c>
      <c r="O239" s="24" t="s">
        <v>40</v>
      </c>
      <c r="P239" s="24" t="s">
        <v>768</v>
      </c>
      <c r="Q239" s="24" t="s">
        <v>769</v>
      </c>
      <c r="R239" s="24" t="s">
        <v>770</v>
      </c>
      <c r="S239" s="24" t="s">
        <v>768</v>
      </c>
      <c r="AS239" s="3"/>
      <c r="BD239" s="97"/>
      <c r="DC239" s="182"/>
      <c r="DE239" s="1" t="s">
        <v>2971</v>
      </c>
      <c r="DF239" s="404">
        <f>IF(DF229&lt;1,DF229,0)</f>
        <v>0</v>
      </c>
      <c r="DG239" s="1" t="s">
        <v>2972</v>
      </c>
      <c r="DH239" s="406">
        <f>DF229-DJ239</f>
        <v>0</v>
      </c>
      <c r="DI239" s="1" t="s">
        <v>2973</v>
      </c>
      <c r="DJ239" s="406">
        <f>DJ230+DJ231+DJ232+DJ233+DJ234+DJ235+DJ236+DJ237+DJ238</f>
        <v>0</v>
      </c>
      <c r="DK239" s="182"/>
      <c r="DM239" s="2"/>
      <c r="DN239" s="37" t="s">
        <v>3498</v>
      </c>
      <c r="DO239" s="37" t="s">
        <v>3498</v>
      </c>
      <c r="DP239" s="37" t="s">
        <v>2600</v>
      </c>
      <c r="DQ239" s="37" t="s">
        <v>3499</v>
      </c>
      <c r="DR239" s="37" t="s">
        <v>2601</v>
      </c>
      <c r="DS239" s="22"/>
      <c r="DT239" s="6"/>
      <c r="DZ239" s="48"/>
      <c r="EL239" s="3"/>
      <c r="EM239" s="3"/>
      <c r="FK239" s="135"/>
      <c r="FY239" s="2"/>
      <c r="FZ239" s="37" t="s">
        <v>3495</v>
      </c>
      <c r="GA239" s="37" t="s">
        <v>3495</v>
      </c>
      <c r="GB239" s="37" t="s">
        <v>3232</v>
      </c>
      <c r="GC239" s="37" t="s">
        <v>3994</v>
      </c>
      <c r="GD239" s="37" t="s">
        <v>2589</v>
      </c>
      <c r="GF239" s="22"/>
      <c r="GL239" s="48"/>
      <c r="HJ239" s="48"/>
      <c r="IG239" s="1"/>
      <c r="IH239" s="1"/>
      <c r="II239" s="1"/>
      <c r="IJ239" s="1"/>
      <c r="IK239" s="1"/>
      <c r="IL239" s="1"/>
      <c r="IM239" s="1"/>
      <c r="IN239" s="1"/>
      <c r="IO239" s="1"/>
      <c r="IP239" s="1"/>
      <c r="IQ239" s="1"/>
      <c r="IR239" s="1"/>
      <c r="IS239" s="1"/>
      <c r="IT239" s="1"/>
      <c r="IU239" s="1"/>
      <c r="IV239" s="1"/>
      <c r="IW239" s="1"/>
      <c r="IX239" s="1"/>
      <c r="IY239" s="1"/>
      <c r="IZ239" s="1"/>
      <c r="JA239" s="1"/>
      <c r="JB239" s="1"/>
      <c r="JC239" s="1"/>
      <c r="JD239" s="135"/>
    </row>
    <row r="240" spans="9:264">
      <c r="I240" s="22"/>
      <c r="J240" s="156" t="s">
        <v>771</v>
      </c>
      <c r="K240" s="156" t="s">
        <v>771</v>
      </c>
      <c r="L240" s="22">
        <v>8</v>
      </c>
      <c r="M240" s="22">
        <v>58</v>
      </c>
      <c r="N240" s="22">
        <v>29.2</v>
      </c>
      <c r="O240" s="22">
        <v>11</v>
      </c>
      <c r="P240" s="22">
        <v>51</v>
      </c>
      <c r="Q240" s="22">
        <v>28</v>
      </c>
      <c r="R240" s="22" t="s">
        <v>772</v>
      </c>
      <c r="S240" s="22" t="s">
        <v>773</v>
      </c>
      <c r="AS240" s="3"/>
      <c r="BD240" s="97"/>
      <c r="DC240" s="182"/>
      <c r="DD240" s="175"/>
      <c r="DE240" s="175"/>
      <c r="DF240" s="175"/>
      <c r="DG240" s="108" t="s">
        <v>2975</v>
      </c>
      <c r="DH240" s="175"/>
      <c r="DI240" s="175"/>
      <c r="DJ240" s="175"/>
      <c r="DK240" s="182"/>
      <c r="DM240" s="2"/>
      <c r="DN240" s="37" t="s">
        <v>3233</v>
      </c>
      <c r="DO240" s="37" t="s">
        <v>3233</v>
      </c>
      <c r="DP240" s="37" t="s">
        <v>2600</v>
      </c>
      <c r="DQ240" s="37" t="s">
        <v>3499</v>
      </c>
      <c r="DR240" s="37" t="s">
        <v>2601</v>
      </c>
      <c r="DS240" s="22"/>
      <c r="DT240" s="6"/>
      <c r="DZ240" s="48"/>
      <c r="EL240" s="3"/>
      <c r="EM240" s="3"/>
      <c r="FK240" s="135"/>
      <c r="FY240" s="2"/>
      <c r="FZ240" s="37" t="s">
        <v>2586</v>
      </c>
      <c r="GA240" s="37" t="s">
        <v>2586</v>
      </c>
      <c r="GB240" s="37" t="s">
        <v>3232</v>
      </c>
      <c r="GC240" s="37" t="s">
        <v>3994</v>
      </c>
      <c r="GD240" s="37" t="s">
        <v>2589</v>
      </c>
      <c r="GF240" s="22"/>
      <c r="GL240" s="48"/>
      <c r="HJ240" s="48"/>
      <c r="IG240" s="1"/>
      <c r="IH240" s="1"/>
      <c r="II240" s="1"/>
      <c r="IJ240" s="1"/>
      <c r="IK240" s="1"/>
      <c r="IL240" s="1"/>
      <c r="IM240" s="1"/>
      <c r="IN240" s="1"/>
      <c r="IO240" s="1"/>
      <c r="IP240" s="1"/>
      <c r="IQ240" s="1"/>
      <c r="IR240" s="1"/>
      <c r="IS240" s="1"/>
      <c r="IT240" s="1"/>
      <c r="IU240" s="1"/>
      <c r="IV240" s="1"/>
      <c r="IW240" s="1"/>
      <c r="IX240" s="1"/>
      <c r="IY240" s="1"/>
      <c r="IZ240" s="1"/>
      <c r="JA240" s="1"/>
      <c r="JB240" s="1"/>
      <c r="JC240" s="1"/>
      <c r="JD240" s="135"/>
    </row>
    <row r="241" spans="9:264">
      <c r="I241" s="22"/>
      <c r="J241" s="156" t="s">
        <v>774</v>
      </c>
      <c r="K241" s="156" t="s">
        <v>774</v>
      </c>
      <c r="L241" s="22">
        <v>8</v>
      </c>
      <c r="M241" s="22">
        <v>16</v>
      </c>
      <c r="N241" s="22">
        <v>30.9</v>
      </c>
      <c r="O241" s="22">
        <v>9</v>
      </c>
      <c r="P241" s="22">
        <v>11</v>
      </c>
      <c r="Q241" s="22">
        <v>8</v>
      </c>
      <c r="R241" s="22" t="s">
        <v>775</v>
      </c>
      <c r="S241" s="22" t="s">
        <v>776</v>
      </c>
      <c r="AS241" s="3"/>
      <c r="BD241" s="97"/>
      <c r="DC241" s="182"/>
      <c r="DD241" s="189" t="s">
        <v>2984</v>
      </c>
      <c r="DG241" s="1" t="s">
        <v>3003</v>
      </c>
      <c r="DH241" s="1">
        <f>IF(DH239&lt;0.000000001,0,DH239)</f>
        <v>0</v>
      </c>
      <c r="DK241" s="182"/>
      <c r="DM241" s="2"/>
      <c r="DN241" s="37" t="s">
        <v>3500</v>
      </c>
      <c r="DO241" s="37" t="s">
        <v>3500</v>
      </c>
      <c r="DP241" s="37" t="s">
        <v>2600</v>
      </c>
      <c r="DQ241" s="37" t="s">
        <v>3499</v>
      </c>
      <c r="DR241" s="37" t="s">
        <v>2601</v>
      </c>
      <c r="DS241" s="22"/>
      <c r="DT241" s="6"/>
      <c r="DZ241" s="48"/>
      <c r="EL241" s="3"/>
      <c r="EM241" s="3"/>
      <c r="FK241" s="135"/>
      <c r="FY241" s="2"/>
      <c r="FZ241" s="37" t="s">
        <v>3497</v>
      </c>
      <c r="GA241" s="37" t="s">
        <v>3497</v>
      </c>
      <c r="GB241" s="37" t="s">
        <v>3232</v>
      </c>
      <c r="GC241" s="37" t="s">
        <v>3994</v>
      </c>
      <c r="GD241" s="37" t="s">
        <v>2589</v>
      </c>
      <c r="GF241" s="22"/>
      <c r="GL241" s="48"/>
      <c r="HJ241" s="48"/>
      <c r="IG241" s="1"/>
      <c r="IH241" s="1"/>
      <c r="II241" s="1"/>
      <c r="IJ241" s="1"/>
      <c r="IK241" s="1"/>
      <c r="IL241" s="1"/>
      <c r="IM241" s="1"/>
      <c r="IN241" s="1"/>
      <c r="IO241" s="1"/>
      <c r="IP241" s="1"/>
      <c r="IQ241" s="1"/>
      <c r="IR241" s="1"/>
      <c r="IS241" s="1"/>
      <c r="IT241" s="1"/>
      <c r="IU241" s="1"/>
      <c r="IV241" s="1"/>
      <c r="IW241" s="1"/>
      <c r="IX241" s="1"/>
      <c r="IY241" s="1"/>
      <c r="IZ241" s="1"/>
      <c r="JA241" s="1"/>
      <c r="JB241" s="1"/>
      <c r="JC241" s="1"/>
      <c r="JD241" s="135"/>
    </row>
    <row r="242" spans="9:264">
      <c r="I242" s="22"/>
      <c r="J242" s="156" t="s">
        <v>777</v>
      </c>
      <c r="K242" s="156" t="s">
        <v>777</v>
      </c>
      <c r="L242" s="22">
        <v>8</v>
      </c>
      <c r="M242" s="22">
        <v>43</v>
      </c>
      <c r="N242" s="22">
        <v>17.100000000000001</v>
      </c>
      <c r="O242" s="22">
        <v>21</v>
      </c>
      <c r="P242" s="22">
        <v>28</v>
      </c>
      <c r="Q242" s="22">
        <v>7</v>
      </c>
      <c r="R242" s="22" t="s">
        <v>778</v>
      </c>
      <c r="S242" s="23" t="s">
        <v>779</v>
      </c>
      <c r="AS242" s="3"/>
      <c r="BD242" s="97"/>
      <c r="DC242" s="182"/>
      <c r="DD242" s="65">
        <f>CT109</f>
        <v>0</v>
      </c>
      <c r="DE242" s="196" t="s">
        <v>2974</v>
      </c>
      <c r="DF242" s="197"/>
      <c r="DG242" s="1" t="s">
        <v>3004</v>
      </c>
      <c r="DH242" s="406">
        <f>IF(DH241&gt;0.999999999,0,DH241)</f>
        <v>0</v>
      </c>
      <c r="DI242" s="108" t="s">
        <v>2976</v>
      </c>
      <c r="DK242" s="182"/>
      <c r="DM242" s="2"/>
      <c r="DN242" s="37" t="s">
        <v>3575</v>
      </c>
      <c r="DO242" s="37" t="s">
        <v>3575</v>
      </c>
      <c r="DP242" s="37" t="s">
        <v>2600</v>
      </c>
      <c r="DQ242" s="37" t="s">
        <v>3499</v>
      </c>
      <c r="DR242" s="37" t="s">
        <v>2601</v>
      </c>
      <c r="DS242" s="22"/>
      <c r="DT242" s="6"/>
      <c r="DZ242" s="48"/>
      <c r="EL242" s="3"/>
      <c r="EM242" s="3"/>
      <c r="FK242" s="135"/>
      <c r="FY242" s="2"/>
      <c r="FZ242" s="37" t="s">
        <v>3232</v>
      </c>
      <c r="GA242" s="37" t="s">
        <v>3232</v>
      </c>
      <c r="GB242" s="37" t="s">
        <v>3232</v>
      </c>
      <c r="GC242" s="37" t="s">
        <v>3994</v>
      </c>
      <c r="GD242" s="37" t="s">
        <v>2589</v>
      </c>
      <c r="GF242" s="22"/>
      <c r="GL242" s="48"/>
      <c r="HJ242" s="48"/>
      <c r="IG242" s="1"/>
      <c r="IH242" s="1"/>
      <c r="II242" s="1"/>
      <c r="IJ242" s="1"/>
      <c r="IK242" s="1"/>
      <c r="IL242" s="1"/>
      <c r="IM242" s="1"/>
      <c r="IN242" s="1"/>
      <c r="IO242" s="1"/>
      <c r="IP242" s="1"/>
      <c r="IQ242" s="1"/>
      <c r="IR242" s="1"/>
      <c r="IS242" s="1"/>
      <c r="IT242" s="1"/>
      <c r="IU242" s="1"/>
      <c r="IV242" s="1"/>
      <c r="IW242" s="1"/>
      <c r="IX242" s="1"/>
      <c r="IY242" s="1"/>
      <c r="IZ242" s="1"/>
      <c r="JA242" s="1"/>
      <c r="JB242" s="1"/>
      <c r="JC242" s="1"/>
      <c r="JD242" s="135"/>
    </row>
    <row r="243" spans="9:264">
      <c r="I243" s="22"/>
      <c r="J243" s="156" t="s">
        <v>780</v>
      </c>
      <c r="K243" s="156" t="s">
        <v>780</v>
      </c>
      <c r="L243" s="22">
        <v>8</v>
      </c>
      <c r="M243" s="22">
        <v>44</v>
      </c>
      <c r="N243" s="22">
        <v>41.1</v>
      </c>
      <c r="O243" s="22">
        <v>18</v>
      </c>
      <c r="P243" s="22">
        <v>9</v>
      </c>
      <c r="Q243" s="22">
        <v>15</v>
      </c>
      <c r="R243" s="22" t="s">
        <v>781</v>
      </c>
      <c r="S243" s="23" t="s">
        <v>782</v>
      </c>
      <c r="AS243" s="3"/>
      <c r="BD243" s="97"/>
      <c r="DC243" s="182"/>
      <c r="DE243" s="6" t="s">
        <v>2977</v>
      </c>
      <c r="DF243" s="6"/>
      <c r="DG243" s="108" t="s">
        <v>2981</v>
      </c>
      <c r="DI243" s="1" t="s">
        <v>3005</v>
      </c>
      <c r="DK243" s="182"/>
      <c r="DM243" s="2"/>
      <c r="DN243" s="37" t="s">
        <v>3501</v>
      </c>
      <c r="DO243" s="37" t="s">
        <v>3501</v>
      </c>
      <c r="DP243" s="37" t="s">
        <v>2658</v>
      </c>
      <c r="DQ243" s="37" t="s">
        <v>3502</v>
      </c>
      <c r="DR243" s="37" t="s">
        <v>2659</v>
      </c>
      <c r="DS243" s="22"/>
      <c r="DT243" s="6"/>
      <c r="DZ243" s="48"/>
      <c r="EL243" s="3"/>
      <c r="EM243" s="3"/>
      <c r="FK243" s="135"/>
      <c r="FY243" s="2"/>
      <c r="FZ243" s="37" t="s">
        <v>3498</v>
      </c>
      <c r="GA243" s="37" t="s">
        <v>3498</v>
      </c>
      <c r="GB243" s="37" t="s">
        <v>3575</v>
      </c>
      <c r="GC243" s="37" t="s">
        <v>3995</v>
      </c>
      <c r="GD243" s="37" t="s">
        <v>2603</v>
      </c>
      <c r="GF243" s="22"/>
      <c r="GL243" s="48"/>
      <c r="HJ243" s="48"/>
      <c r="IG243" s="1"/>
      <c r="IH243" s="1"/>
      <c r="II243" s="1"/>
      <c r="IJ243" s="1"/>
      <c r="IK243" s="1"/>
      <c r="IL243" s="1"/>
      <c r="IM243" s="1"/>
      <c r="IN243" s="1"/>
      <c r="IO243" s="1"/>
      <c r="IP243" s="1"/>
      <c r="IQ243" s="1"/>
      <c r="IR243" s="1"/>
      <c r="IS243" s="1"/>
      <c r="IT243" s="1"/>
      <c r="IU243" s="1"/>
      <c r="IV243" s="1"/>
      <c r="IW243" s="1"/>
      <c r="IX243" s="1"/>
      <c r="IY243" s="1"/>
      <c r="IZ243" s="1"/>
      <c r="JA243" s="1"/>
      <c r="JB243" s="1"/>
      <c r="JC243" s="1"/>
      <c r="JD243" s="135"/>
    </row>
    <row r="244" spans="9:264">
      <c r="I244" s="22"/>
      <c r="J244" s="156" t="s">
        <v>783</v>
      </c>
      <c r="K244" s="156" t="s">
        <v>783</v>
      </c>
      <c r="L244" s="22">
        <v>8</v>
      </c>
      <c r="M244" s="22">
        <v>12</v>
      </c>
      <c r="N244" s="22">
        <v>12.7</v>
      </c>
      <c r="O244" s="22">
        <v>17</v>
      </c>
      <c r="P244" s="22">
        <v>38</v>
      </c>
      <c r="Q244" s="22">
        <v>53</v>
      </c>
      <c r="R244" s="22" t="s">
        <v>784</v>
      </c>
      <c r="S244" s="23" t="s">
        <v>785</v>
      </c>
      <c r="AS244" s="3"/>
      <c r="BD244" s="97"/>
      <c r="DC244" s="182"/>
      <c r="DD244" s="191" t="s">
        <v>2991</v>
      </c>
      <c r="DE244" s="6" t="s">
        <v>2978</v>
      </c>
      <c r="DF244" s="128"/>
      <c r="DG244" s="1" t="s">
        <v>3006</v>
      </c>
      <c r="DH244" s="1">
        <f>DF254-DH242</f>
        <v>0</v>
      </c>
      <c r="DI244" s="1" t="s">
        <v>3007</v>
      </c>
      <c r="DJ244" s="406">
        <f>DH206</f>
        <v>0</v>
      </c>
      <c r="DK244" s="182"/>
      <c r="DM244" s="2"/>
      <c r="DN244" s="37" t="s">
        <v>2658</v>
      </c>
      <c r="DO244" s="37" t="s">
        <v>2658</v>
      </c>
      <c r="DP244" s="37" t="s">
        <v>2658</v>
      </c>
      <c r="DQ244" s="37" t="s">
        <v>3502</v>
      </c>
      <c r="DR244" s="37" t="s">
        <v>2659</v>
      </c>
      <c r="DS244" s="22"/>
      <c r="DT244" s="6"/>
      <c r="DZ244" s="48"/>
      <c r="EL244" s="3"/>
      <c r="EM244" s="3"/>
      <c r="FK244" s="135"/>
      <c r="FY244" s="2"/>
      <c r="FZ244" s="37" t="s">
        <v>3233</v>
      </c>
      <c r="GA244" s="37" t="s">
        <v>3233</v>
      </c>
      <c r="GB244" s="37" t="s">
        <v>3575</v>
      </c>
      <c r="GC244" s="37" t="s">
        <v>3995</v>
      </c>
      <c r="GD244" s="37" t="s">
        <v>2603</v>
      </c>
      <c r="GF244" s="22"/>
      <c r="GL244" s="48"/>
      <c r="HJ244" s="48"/>
      <c r="IG244" s="1"/>
      <c r="IH244" s="1"/>
      <c r="II244" s="1"/>
      <c r="IJ244" s="1"/>
      <c r="IK244" s="1"/>
      <c r="IL244" s="1"/>
      <c r="IM244" s="1"/>
      <c r="IN244" s="1"/>
      <c r="IO244" s="1"/>
      <c r="IP244" s="1"/>
      <c r="IQ244" s="1"/>
      <c r="IR244" s="1"/>
      <c r="IS244" s="1"/>
      <c r="IT244" s="1"/>
      <c r="IU244" s="1"/>
      <c r="IV244" s="1"/>
      <c r="IW244" s="1"/>
      <c r="IX244" s="1"/>
      <c r="IY244" s="1"/>
      <c r="IZ244" s="1"/>
      <c r="JA244" s="1"/>
      <c r="JB244" s="1"/>
      <c r="JC244" s="1"/>
      <c r="JD244" s="135"/>
    </row>
    <row r="245" spans="9:264">
      <c r="I245" s="22"/>
      <c r="J245" s="156" t="s">
        <v>786</v>
      </c>
      <c r="K245" s="156" t="s">
        <v>786</v>
      </c>
      <c r="L245" s="22">
        <v>8</v>
      </c>
      <c r="M245" s="22">
        <v>46</v>
      </c>
      <c r="N245" s="22">
        <v>41.8</v>
      </c>
      <c r="O245" s="22">
        <v>28</v>
      </c>
      <c r="P245" s="22">
        <v>45</v>
      </c>
      <c r="Q245" s="22">
        <v>36</v>
      </c>
      <c r="R245" s="22" t="s">
        <v>787</v>
      </c>
      <c r="S245" s="23" t="s">
        <v>788</v>
      </c>
      <c r="AS245" s="3"/>
      <c r="BD245" s="97"/>
      <c r="DC245" s="182"/>
      <c r="DD245" s="1" t="s">
        <v>2981</v>
      </c>
      <c r="DE245" s="168" t="s">
        <v>2980</v>
      </c>
      <c r="DF245" s="65">
        <f>DJ202</f>
        <v>0</v>
      </c>
      <c r="DG245" s="1" t="s">
        <v>2986</v>
      </c>
      <c r="DH245" s="1">
        <f>IF(DF249=1,DH244,0)</f>
        <v>0</v>
      </c>
      <c r="DK245" s="182"/>
      <c r="DM245" s="2"/>
      <c r="DN245" s="37" t="s">
        <v>3503</v>
      </c>
      <c r="DO245" s="37" t="s">
        <v>3503</v>
      </c>
      <c r="DP245" s="37" t="s">
        <v>2605</v>
      </c>
      <c r="DQ245" s="37" t="s">
        <v>3504</v>
      </c>
      <c r="DR245" s="37" t="s">
        <v>2606</v>
      </c>
      <c r="DS245" s="22"/>
      <c r="DT245" s="6"/>
      <c r="DZ245" s="48"/>
      <c r="EL245" s="3"/>
      <c r="EM245" s="3"/>
      <c r="FK245" s="135"/>
      <c r="FY245" s="2"/>
      <c r="FZ245" s="37" t="s">
        <v>3500</v>
      </c>
      <c r="GA245" s="37" t="s">
        <v>3500</v>
      </c>
      <c r="GB245" s="37" t="s">
        <v>3575</v>
      </c>
      <c r="GC245" s="37" t="s">
        <v>3995</v>
      </c>
      <c r="GD245" s="37" t="s">
        <v>2603</v>
      </c>
      <c r="GF245" s="22"/>
      <c r="GL245" s="48"/>
      <c r="HJ245" s="48"/>
      <c r="IG245" s="1"/>
      <c r="IH245" s="1"/>
      <c r="II245" s="1"/>
      <c r="IJ245" s="1"/>
      <c r="IK245" s="1"/>
      <c r="IL245" s="1"/>
      <c r="IM245" s="1"/>
      <c r="IN245" s="1"/>
      <c r="IO245" s="1"/>
      <c r="IP245" s="1"/>
      <c r="IQ245" s="1"/>
      <c r="IR245" s="1"/>
      <c r="IS245" s="1"/>
      <c r="IT245" s="1"/>
      <c r="IU245" s="1"/>
      <c r="IV245" s="1"/>
      <c r="IW245" s="1"/>
      <c r="IX245" s="1"/>
      <c r="IY245" s="1"/>
      <c r="IZ245" s="1"/>
      <c r="JA245" s="1"/>
      <c r="JB245" s="1"/>
      <c r="JC245" s="1"/>
      <c r="JD245" s="135"/>
    </row>
    <row r="246" spans="9:264">
      <c r="I246" s="36" t="s">
        <v>789</v>
      </c>
      <c r="J246" s="161" t="s">
        <v>790</v>
      </c>
      <c r="K246" s="161" t="s">
        <v>790</v>
      </c>
      <c r="L246" s="24" t="s">
        <v>39</v>
      </c>
      <c r="M246" s="36" t="s">
        <v>789</v>
      </c>
      <c r="N246" s="36" t="s">
        <v>789</v>
      </c>
      <c r="O246" s="24" t="s">
        <v>40</v>
      </c>
      <c r="P246" s="36" t="s">
        <v>791</v>
      </c>
      <c r="Q246" s="36" t="s">
        <v>792</v>
      </c>
      <c r="R246" s="36" t="s">
        <v>793</v>
      </c>
      <c r="S246" s="36" t="s">
        <v>791</v>
      </c>
      <c r="AS246" s="3"/>
      <c r="BD246" s="97"/>
      <c r="DC246" s="182"/>
      <c r="DD246" s="118">
        <f>DH206</f>
        <v>0</v>
      </c>
      <c r="DE246" s="128" t="s">
        <v>2983</v>
      </c>
      <c r="DF246" s="128" t="b">
        <f>ISNUMBER(DF245)</f>
        <v>1</v>
      </c>
      <c r="DG246" s="1" t="s">
        <v>2988</v>
      </c>
      <c r="DH246" s="1">
        <f>-1*DH245</f>
        <v>0</v>
      </c>
      <c r="DI246" s="1" t="s">
        <v>3008</v>
      </c>
      <c r="DK246" s="182"/>
      <c r="DM246" s="2"/>
      <c r="DN246" s="37" t="s">
        <v>2605</v>
      </c>
      <c r="DO246" s="37" t="s">
        <v>2605</v>
      </c>
      <c r="DP246" s="37" t="s">
        <v>2605</v>
      </c>
      <c r="DQ246" s="37" t="s">
        <v>3504</v>
      </c>
      <c r="DR246" s="37" t="s">
        <v>2606</v>
      </c>
      <c r="DS246" s="22"/>
      <c r="DT246" s="6"/>
      <c r="DZ246" s="48"/>
      <c r="EL246" s="3"/>
      <c r="EM246" s="3"/>
      <c r="FK246" s="135"/>
      <c r="FY246" s="2"/>
      <c r="FZ246" s="37" t="s">
        <v>3575</v>
      </c>
      <c r="GA246" s="37" t="s">
        <v>3575</v>
      </c>
      <c r="GB246" s="37" t="s">
        <v>3575</v>
      </c>
      <c r="GC246" s="37" t="s">
        <v>3995</v>
      </c>
      <c r="GD246" s="37" t="s">
        <v>2603</v>
      </c>
      <c r="GF246" s="22"/>
      <c r="GL246" s="48"/>
      <c r="HJ246" s="48"/>
      <c r="IG246" s="1"/>
      <c r="IH246" s="1"/>
      <c r="II246" s="1"/>
      <c r="IJ246" s="1"/>
      <c r="IK246" s="1"/>
      <c r="IL246" s="1"/>
      <c r="IM246" s="1"/>
      <c r="IN246" s="1"/>
      <c r="IO246" s="1"/>
      <c r="IP246" s="1"/>
      <c r="IQ246" s="1"/>
      <c r="IR246" s="1"/>
      <c r="IS246" s="1"/>
      <c r="IT246" s="1"/>
      <c r="IU246" s="1"/>
      <c r="IV246" s="1"/>
      <c r="IW246" s="1"/>
      <c r="IX246" s="1"/>
      <c r="IY246" s="1"/>
      <c r="IZ246" s="1"/>
      <c r="JA246" s="1"/>
      <c r="JB246" s="1"/>
      <c r="JC246" s="1"/>
      <c r="JD246" s="135"/>
    </row>
    <row r="247" spans="9:264">
      <c r="I247" s="30"/>
      <c r="J247" s="159" t="s">
        <v>794</v>
      </c>
      <c r="K247" s="159" t="s">
        <v>794</v>
      </c>
      <c r="L247" s="30">
        <v>0</v>
      </c>
      <c r="M247" s="30">
        <v>40</v>
      </c>
      <c r="N247" s="30">
        <v>30.4</v>
      </c>
      <c r="O247" s="30">
        <v>56</v>
      </c>
      <c r="P247" s="30">
        <v>32</v>
      </c>
      <c r="Q247" s="30">
        <v>14</v>
      </c>
      <c r="R247" s="30" t="s">
        <v>795</v>
      </c>
      <c r="S247" s="30" t="s">
        <v>796</v>
      </c>
      <c r="AS247" s="3"/>
      <c r="BD247" s="97"/>
      <c r="DC247" s="182"/>
      <c r="DD247" s="1" t="s">
        <v>2993</v>
      </c>
      <c r="DE247" s="128" t="s">
        <v>2985</v>
      </c>
      <c r="DF247" s="128">
        <f>DF246*1</f>
        <v>1</v>
      </c>
      <c r="DG247" s="1" t="s">
        <v>2990</v>
      </c>
      <c r="DH247" s="406">
        <f>IF(DF249=1,DH246,DH244)</f>
        <v>0</v>
      </c>
      <c r="DI247" s="1" t="s">
        <v>3009</v>
      </c>
      <c r="DJ247" s="406">
        <f>DH247</f>
        <v>0</v>
      </c>
      <c r="DK247" s="182"/>
      <c r="DM247" s="2"/>
      <c r="DN247" s="37" t="s">
        <v>3505</v>
      </c>
      <c r="DO247" s="37" t="s">
        <v>3505</v>
      </c>
      <c r="DP247" s="37" t="s">
        <v>2690</v>
      </c>
      <c r="DQ247" s="37" t="s">
        <v>3506</v>
      </c>
      <c r="DR247" s="37" t="s">
        <v>2691</v>
      </c>
      <c r="DS247" s="22"/>
      <c r="DT247" s="6"/>
      <c r="DZ247" s="48"/>
      <c r="EL247" s="3"/>
      <c r="EM247" s="3"/>
      <c r="FK247" s="135"/>
      <c r="FY247" s="2"/>
      <c r="FZ247" s="37" t="s">
        <v>3501</v>
      </c>
      <c r="GA247" s="37" t="s">
        <v>3501</v>
      </c>
      <c r="GB247" s="37" t="s">
        <v>2658</v>
      </c>
      <c r="GC247" s="37" t="s">
        <v>3996</v>
      </c>
      <c r="GD247" s="37" t="s">
        <v>2661</v>
      </c>
      <c r="GF247" s="22"/>
      <c r="GL247" s="48"/>
      <c r="HJ247" s="48"/>
      <c r="IG247" s="1"/>
      <c r="IH247" s="1"/>
      <c r="II247" s="1"/>
      <c r="IJ247" s="1"/>
      <c r="IK247" s="1"/>
      <c r="IL247" s="1"/>
      <c r="IM247" s="1"/>
      <c r="IN247" s="1"/>
      <c r="IO247" s="1"/>
      <c r="IP247" s="1"/>
      <c r="IQ247" s="1"/>
      <c r="IR247" s="1"/>
      <c r="IS247" s="1"/>
      <c r="IT247" s="1"/>
      <c r="IU247" s="1"/>
      <c r="IV247" s="1"/>
      <c r="IW247" s="1"/>
      <c r="IX247" s="1"/>
      <c r="IY247" s="1"/>
      <c r="IZ247" s="1"/>
      <c r="JA247" s="1"/>
      <c r="JB247" s="1"/>
      <c r="JC247" s="1"/>
      <c r="JD247" s="135"/>
    </row>
    <row r="248" spans="9:264">
      <c r="I248" s="30"/>
      <c r="J248" s="159" t="s">
        <v>797</v>
      </c>
      <c r="K248" s="159" t="s">
        <v>797</v>
      </c>
      <c r="L248" s="30">
        <v>0</v>
      </c>
      <c r="M248" s="30">
        <v>9</v>
      </c>
      <c r="N248" s="30">
        <v>10.7</v>
      </c>
      <c r="O248" s="30">
        <v>59</v>
      </c>
      <c r="P248" s="30">
        <v>8</v>
      </c>
      <c r="Q248" s="30">
        <v>59</v>
      </c>
      <c r="R248" s="30" t="s">
        <v>798</v>
      </c>
      <c r="S248" s="30" t="s">
        <v>799</v>
      </c>
      <c r="AS248" s="3"/>
      <c r="BD248" s="97"/>
      <c r="DC248" s="182"/>
      <c r="DD248" s="118">
        <f>DH211</f>
        <v>0</v>
      </c>
      <c r="DE248" s="128" t="s">
        <v>2987</v>
      </c>
      <c r="DF248" s="6">
        <f>IF(DF247=1,DF245,0)</f>
        <v>0</v>
      </c>
      <c r="DH248" s="175"/>
      <c r="DK248" s="182"/>
      <c r="DM248" s="2"/>
      <c r="DN248" s="37" t="s">
        <v>2690</v>
      </c>
      <c r="DO248" s="37" t="s">
        <v>2690</v>
      </c>
      <c r="DP248" s="37" t="s">
        <v>2690</v>
      </c>
      <c r="DQ248" s="37" t="s">
        <v>3506</v>
      </c>
      <c r="DR248" s="37" t="s">
        <v>2691</v>
      </c>
      <c r="DS248" s="22"/>
      <c r="DT248" s="6"/>
      <c r="DZ248" s="48"/>
      <c r="EL248" s="3"/>
      <c r="EM248" s="3"/>
      <c r="FK248" s="135"/>
      <c r="FY248" s="2"/>
      <c r="FZ248" s="37" t="s">
        <v>2658</v>
      </c>
      <c r="GA248" s="37" t="s">
        <v>2658</v>
      </c>
      <c r="GB248" s="37" t="s">
        <v>2658</v>
      </c>
      <c r="GC248" s="37" t="s">
        <v>3997</v>
      </c>
      <c r="GD248" s="37" t="s">
        <v>2661</v>
      </c>
      <c r="GF248" s="22"/>
      <c r="GL248" s="48"/>
      <c r="HJ248" s="48"/>
      <c r="IG248" s="1"/>
      <c r="IH248" s="1"/>
      <c r="II248" s="1"/>
      <c r="IJ248" s="1"/>
      <c r="IK248" s="1"/>
      <c r="IL248" s="1"/>
      <c r="IM248" s="1"/>
      <c r="IN248" s="1"/>
      <c r="IO248" s="1"/>
      <c r="IP248" s="1"/>
      <c r="IQ248" s="1"/>
      <c r="IR248" s="1"/>
      <c r="IS248" s="1"/>
      <c r="IT248" s="1"/>
      <c r="IU248" s="1"/>
      <c r="IV248" s="1"/>
      <c r="IW248" s="1"/>
      <c r="IX248" s="1"/>
      <c r="IY248" s="1"/>
      <c r="IZ248" s="1"/>
      <c r="JA248" s="1"/>
      <c r="JB248" s="1"/>
      <c r="JC248" s="1"/>
      <c r="JD248" s="135"/>
    </row>
    <row r="249" spans="9:264">
      <c r="I249" s="30"/>
      <c r="J249" s="159" t="s">
        <v>800</v>
      </c>
      <c r="K249" s="159" t="s">
        <v>800</v>
      </c>
      <c r="L249" s="30">
        <v>0</v>
      </c>
      <c r="M249" s="30">
        <v>56</v>
      </c>
      <c r="N249" s="30">
        <v>42.5</v>
      </c>
      <c r="O249" s="30">
        <v>60</v>
      </c>
      <c r="P249" s="30">
        <v>43</v>
      </c>
      <c r="Q249" s="30">
        <v>0</v>
      </c>
      <c r="R249" s="30" t="s">
        <v>801</v>
      </c>
      <c r="S249" s="30" t="s">
        <v>802</v>
      </c>
      <c r="AS249" s="3"/>
      <c r="BD249" s="97"/>
      <c r="DC249" s="182"/>
      <c r="DD249" s="407" t="s">
        <v>2997</v>
      </c>
      <c r="DE249" s="132" t="s">
        <v>2989</v>
      </c>
      <c r="DF249" s="132">
        <f>IF(DF248&lt;0,1,0)</f>
        <v>0</v>
      </c>
      <c r="DG249" s="108" t="s">
        <v>2993</v>
      </c>
      <c r="DI249" s="1" t="s">
        <v>3010</v>
      </c>
      <c r="DK249" s="182"/>
      <c r="DM249" s="2"/>
      <c r="DN249" s="37" t="s">
        <v>3507</v>
      </c>
      <c r="DO249" s="37" t="s">
        <v>3507</v>
      </c>
      <c r="DP249" s="37" t="s">
        <v>3234</v>
      </c>
      <c r="DQ249" s="37" t="s">
        <v>3508</v>
      </c>
      <c r="DR249" s="37" t="s">
        <v>2709</v>
      </c>
      <c r="DS249" s="22"/>
      <c r="DT249" s="6"/>
      <c r="DZ249" s="48"/>
      <c r="EL249" s="3"/>
      <c r="EM249" s="3"/>
      <c r="FK249" s="135"/>
      <c r="FY249" s="2"/>
      <c r="FZ249" s="37" t="s">
        <v>3503</v>
      </c>
      <c r="GA249" s="37" t="s">
        <v>3503</v>
      </c>
      <c r="GB249" s="37" t="s">
        <v>2605</v>
      </c>
      <c r="GC249" s="37" t="s">
        <v>3998</v>
      </c>
      <c r="GD249" s="37" t="s">
        <v>2608</v>
      </c>
      <c r="GF249" s="22"/>
      <c r="GL249" s="48"/>
      <c r="HJ249" s="48"/>
      <c r="IG249" s="1"/>
      <c r="IH249" s="1"/>
      <c r="II249" s="1"/>
      <c r="IJ249" s="1"/>
      <c r="IK249" s="1"/>
      <c r="IL249" s="1"/>
      <c r="IM249" s="1"/>
      <c r="IN249" s="1"/>
      <c r="IO249" s="1"/>
      <c r="IP249" s="1"/>
      <c r="IQ249" s="1"/>
      <c r="IR249" s="1"/>
      <c r="IS249" s="1"/>
      <c r="IT249" s="1"/>
      <c r="IU249" s="1"/>
      <c r="IV249" s="1"/>
      <c r="IW249" s="1"/>
      <c r="IX249" s="1"/>
      <c r="IY249" s="1"/>
      <c r="IZ249" s="1"/>
      <c r="JA249" s="1"/>
      <c r="JB249" s="1"/>
      <c r="JC249" s="1"/>
      <c r="JD249" s="135"/>
    </row>
    <row r="250" spans="9:264">
      <c r="I250" s="30"/>
      <c r="J250" s="159" t="s">
        <v>803</v>
      </c>
      <c r="K250" s="159" t="s">
        <v>803</v>
      </c>
      <c r="L250" s="30">
        <v>1</v>
      </c>
      <c r="M250" s="30">
        <v>25</v>
      </c>
      <c r="N250" s="30">
        <v>49</v>
      </c>
      <c r="O250" s="30">
        <v>60</v>
      </c>
      <c r="P250" s="30">
        <v>14</v>
      </c>
      <c r="Q250" s="30">
        <v>7</v>
      </c>
      <c r="R250" s="30" t="s">
        <v>804</v>
      </c>
      <c r="S250" s="30" t="s">
        <v>805</v>
      </c>
      <c r="AS250" s="3"/>
      <c r="BD250" s="97"/>
      <c r="DC250" s="182"/>
      <c r="DD250" s="408">
        <f>DJ244</f>
        <v>0</v>
      </c>
      <c r="DE250" s="128" t="s">
        <v>2992</v>
      </c>
      <c r="DF250" s="128">
        <f>IF(DF249=1,DF248,0)</f>
        <v>0</v>
      </c>
      <c r="DG250" s="1" t="s">
        <v>2994</v>
      </c>
      <c r="DH250" s="1">
        <f>IF(DF249=1,DH242,0)</f>
        <v>0</v>
      </c>
      <c r="DI250" s="1" t="s">
        <v>3011</v>
      </c>
      <c r="DJ250" s="406">
        <f>60*DH252</f>
        <v>0</v>
      </c>
      <c r="DK250" s="182"/>
      <c r="DM250" s="2"/>
      <c r="DN250" s="37" t="s">
        <v>3234</v>
      </c>
      <c r="DO250" s="37" t="s">
        <v>3234</v>
      </c>
      <c r="DP250" s="37" t="s">
        <v>3234</v>
      </c>
      <c r="DQ250" s="37" t="s">
        <v>3508</v>
      </c>
      <c r="DR250" s="37" t="s">
        <v>2709</v>
      </c>
      <c r="DS250" s="22"/>
      <c r="DT250" s="6"/>
      <c r="DZ250" s="48"/>
      <c r="EL250" s="3"/>
      <c r="EM250" s="3"/>
      <c r="FK250" s="135"/>
      <c r="FY250" s="2"/>
      <c r="FZ250" s="37" t="s">
        <v>2605</v>
      </c>
      <c r="GA250" s="37" t="s">
        <v>2605</v>
      </c>
      <c r="GB250" s="37" t="s">
        <v>2605</v>
      </c>
      <c r="GC250" s="37" t="s">
        <v>3999</v>
      </c>
      <c r="GD250" s="37" t="s">
        <v>2608</v>
      </c>
      <c r="GF250" s="22"/>
      <c r="GL250" s="48"/>
      <c r="HJ250" s="48"/>
      <c r="IG250" s="1"/>
      <c r="IH250" s="1"/>
      <c r="II250" s="1"/>
      <c r="IJ250" s="1"/>
      <c r="IK250" s="1"/>
      <c r="IL250" s="1"/>
      <c r="IM250" s="1"/>
      <c r="IN250" s="1"/>
      <c r="IO250" s="1"/>
      <c r="IP250" s="1"/>
      <c r="IQ250" s="1"/>
      <c r="IR250" s="1"/>
      <c r="IS250" s="1"/>
      <c r="IT250" s="1"/>
      <c r="IU250" s="1"/>
      <c r="IV250" s="1"/>
      <c r="IW250" s="1"/>
      <c r="IX250" s="1"/>
      <c r="IY250" s="1"/>
      <c r="IZ250" s="1"/>
      <c r="JA250" s="1"/>
      <c r="JB250" s="1"/>
      <c r="JC250" s="1"/>
      <c r="JD250" s="135"/>
    </row>
    <row r="251" spans="9:264">
      <c r="I251" s="30"/>
      <c r="J251" s="159" t="s">
        <v>806</v>
      </c>
      <c r="K251" s="159" t="s">
        <v>806</v>
      </c>
      <c r="L251" s="30">
        <v>1</v>
      </c>
      <c r="M251" s="30">
        <v>54</v>
      </c>
      <c r="N251" s="30">
        <v>23.7</v>
      </c>
      <c r="O251" s="30">
        <v>63</v>
      </c>
      <c r="P251" s="30">
        <v>40</v>
      </c>
      <c r="Q251" s="30">
        <v>12</v>
      </c>
      <c r="R251" s="30" t="s">
        <v>807</v>
      </c>
      <c r="S251" s="30" t="s">
        <v>808</v>
      </c>
      <c r="AS251" s="3"/>
      <c r="BD251" s="97"/>
      <c r="DC251" s="182"/>
      <c r="DD251" s="409" t="s">
        <v>11</v>
      </c>
      <c r="DE251" s="128" t="s">
        <v>3012</v>
      </c>
      <c r="DF251" s="128">
        <f>DF250*-1</f>
        <v>0</v>
      </c>
      <c r="DG251" s="1" t="s">
        <v>2988</v>
      </c>
      <c r="DH251" s="1">
        <f>-1*DH250</f>
        <v>0</v>
      </c>
      <c r="DK251" s="182"/>
      <c r="DM251" s="2"/>
      <c r="DN251" s="37" t="s">
        <v>3509</v>
      </c>
      <c r="DO251" s="37" t="s">
        <v>3509</v>
      </c>
      <c r="DP251" s="37" t="s">
        <v>3234</v>
      </c>
      <c r="DQ251" s="37" t="s">
        <v>3508</v>
      </c>
      <c r="DR251" s="37" t="s">
        <v>2709</v>
      </c>
      <c r="DS251" s="22"/>
      <c r="DT251" s="6"/>
      <c r="DZ251" s="48"/>
      <c r="EL251" s="3"/>
      <c r="EM251" s="3"/>
      <c r="FK251" s="135"/>
      <c r="FY251" s="2"/>
      <c r="FZ251" s="37" t="s">
        <v>3505</v>
      </c>
      <c r="GA251" s="37" t="s">
        <v>3505</v>
      </c>
      <c r="GB251" s="37" t="s">
        <v>2690</v>
      </c>
      <c r="GC251" s="37" t="s">
        <v>4000</v>
      </c>
      <c r="GD251" s="37" t="s">
        <v>2693</v>
      </c>
      <c r="GF251" s="22"/>
      <c r="GL251" s="48"/>
      <c r="HJ251" s="48"/>
      <c r="IG251" s="1"/>
      <c r="IH251" s="1"/>
      <c r="II251" s="1"/>
      <c r="IJ251" s="1"/>
      <c r="IK251" s="1"/>
      <c r="IL251" s="1"/>
      <c r="IM251" s="1"/>
      <c r="IN251" s="1"/>
      <c r="IO251" s="1"/>
      <c r="IP251" s="1"/>
      <c r="IQ251" s="1"/>
      <c r="IR251" s="1"/>
      <c r="IS251" s="1"/>
      <c r="IT251" s="1"/>
      <c r="IU251" s="1"/>
      <c r="IV251" s="1"/>
      <c r="IW251" s="1"/>
      <c r="IX251" s="1"/>
      <c r="IY251" s="1"/>
      <c r="IZ251" s="1"/>
      <c r="JA251" s="1"/>
      <c r="JB251" s="1"/>
      <c r="JC251" s="1"/>
      <c r="JD251" s="135"/>
    </row>
    <row r="252" spans="9:264">
      <c r="I252" s="30"/>
      <c r="J252" s="159" t="s">
        <v>809</v>
      </c>
      <c r="K252" s="159" t="s">
        <v>809</v>
      </c>
      <c r="L252" s="30">
        <v>0</v>
      </c>
      <c r="M252" s="30">
        <v>49</v>
      </c>
      <c r="N252" s="30">
        <v>6.3</v>
      </c>
      <c r="O252" s="30">
        <v>57</v>
      </c>
      <c r="P252" s="30">
        <v>48</v>
      </c>
      <c r="Q252" s="30">
        <v>55</v>
      </c>
      <c r="R252" s="30" t="s">
        <v>810</v>
      </c>
      <c r="S252" s="30" t="s">
        <v>811</v>
      </c>
      <c r="AS252" s="3"/>
      <c r="BD252" s="97"/>
      <c r="DC252" s="182"/>
      <c r="DD252" s="410">
        <f>DJ247</f>
        <v>0</v>
      </c>
      <c r="DE252" s="128" t="s">
        <v>2995</v>
      </c>
      <c r="DF252" s="6">
        <f>IF(DF251=0,DF248,DF251)</f>
        <v>0</v>
      </c>
      <c r="DG252" s="1" t="s">
        <v>2996</v>
      </c>
      <c r="DH252" s="406">
        <f>IF(DF249=1,DH251,DH242)</f>
        <v>0</v>
      </c>
      <c r="DK252" s="182"/>
      <c r="DM252" s="2"/>
      <c r="DN252" s="37" t="s">
        <v>2708</v>
      </c>
      <c r="DO252" s="37" t="s">
        <v>2708</v>
      </c>
      <c r="DP252" s="37" t="s">
        <v>3234</v>
      </c>
      <c r="DQ252" s="37" t="s">
        <v>3508</v>
      </c>
      <c r="DR252" s="37" t="s">
        <v>2709</v>
      </c>
      <c r="DS252" s="22"/>
      <c r="DT252" s="6"/>
      <c r="DZ252" s="48"/>
      <c r="EL252" s="3"/>
      <c r="EM252" s="3"/>
      <c r="FK252" s="135"/>
      <c r="FY252" s="2"/>
      <c r="FZ252" s="37" t="s">
        <v>2690</v>
      </c>
      <c r="GA252" s="37" t="s">
        <v>2690</v>
      </c>
      <c r="GB252" s="37" t="s">
        <v>2690</v>
      </c>
      <c r="GC252" s="37" t="s">
        <v>4000</v>
      </c>
      <c r="GD252" s="37" t="s">
        <v>2693</v>
      </c>
      <c r="GF252" s="22"/>
      <c r="GL252" s="48"/>
      <c r="HJ252" s="48"/>
      <c r="IG252" s="1"/>
      <c r="IH252" s="1"/>
      <c r="II252" s="1"/>
      <c r="IJ252" s="1"/>
      <c r="IK252" s="1"/>
      <c r="IL252" s="1"/>
      <c r="IM252" s="1"/>
      <c r="IN252" s="1"/>
      <c r="IO252" s="1"/>
      <c r="IP252" s="1"/>
      <c r="IQ252" s="1"/>
      <c r="IR252" s="1"/>
      <c r="IS252" s="1"/>
      <c r="IT252" s="1"/>
      <c r="IU252" s="1"/>
      <c r="IV252" s="1"/>
      <c r="IW252" s="1"/>
      <c r="IX252" s="1"/>
      <c r="IY252" s="1"/>
      <c r="IZ252" s="1"/>
      <c r="JA252" s="1"/>
      <c r="JB252" s="1"/>
      <c r="JC252" s="1"/>
      <c r="JD252" s="135"/>
    </row>
    <row r="253" spans="9:264">
      <c r="I253" s="30"/>
      <c r="J253" s="159" t="s">
        <v>812</v>
      </c>
      <c r="K253" s="159" t="s">
        <v>812</v>
      </c>
      <c r="L253" s="30">
        <v>2</v>
      </c>
      <c r="M253" s="30">
        <v>29</v>
      </c>
      <c r="N253" s="30">
        <v>3.9</v>
      </c>
      <c r="O253" s="30">
        <v>67</v>
      </c>
      <c r="P253" s="30">
        <v>24</v>
      </c>
      <c r="Q253" s="30">
        <v>9</v>
      </c>
      <c r="R253" s="30" t="s">
        <v>813</v>
      </c>
      <c r="S253" s="30" t="s">
        <v>814</v>
      </c>
      <c r="AS253" s="3"/>
      <c r="BD253" s="97"/>
      <c r="DC253" s="182"/>
      <c r="DD253" s="409" t="s">
        <v>2858</v>
      </c>
      <c r="DE253" s="145" t="s">
        <v>3013</v>
      </c>
      <c r="DF253" s="6">
        <f>DF252</f>
        <v>0</v>
      </c>
      <c r="DH253" s="175"/>
      <c r="DK253" s="182"/>
      <c r="DM253" s="2"/>
      <c r="DN253" s="37" t="s">
        <v>3235</v>
      </c>
      <c r="DO253" s="37" t="s">
        <v>3235</v>
      </c>
      <c r="DP253" s="37"/>
      <c r="DQ253" s="37"/>
      <c r="DR253" s="37"/>
      <c r="DS253" s="37" t="s">
        <v>3510</v>
      </c>
      <c r="DT253" s="175"/>
      <c r="DZ253" s="48"/>
      <c r="EL253" s="3"/>
      <c r="EM253" s="3"/>
      <c r="FK253" s="135"/>
      <c r="FY253" s="2"/>
      <c r="FZ253" s="37" t="s">
        <v>3507</v>
      </c>
      <c r="GA253" s="37" t="s">
        <v>3507</v>
      </c>
      <c r="GB253" s="37" t="s">
        <v>3234</v>
      </c>
      <c r="GC253" s="37" t="s">
        <v>4001</v>
      </c>
      <c r="GD253" s="37" t="s">
        <v>2711</v>
      </c>
      <c r="GF253" s="22"/>
      <c r="GL253" s="48"/>
      <c r="HJ253" s="48"/>
      <c r="IG253" s="1"/>
      <c r="IH253" s="1"/>
      <c r="II253" s="1"/>
      <c r="IJ253" s="1"/>
      <c r="IK253" s="1"/>
      <c r="IL253" s="1"/>
      <c r="IM253" s="1"/>
      <c r="IN253" s="1"/>
      <c r="IO253" s="1"/>
      <c r="IP253" s="1"/>
      <c r="IQ253" s="1"/>
      <c r="IR253" s="1"/>
      <c r="IS253" s="1"/>
      <c r="IT253" s="1"/>
      <c r="IU253" s="1"/>
      <c r="IV253" s="1"/>
      <c r="IW253" s="1"/>
      <c r="IX253" s="1"/>
      <c r="IY253" s="1"/>
      <c r="IZ253" s="1"/>
      <c r="JA253" s="1"/>
      <c r="JB253" s="1"/>
      <c r="JC253" s="1"/>
      <c r="JD253" s="135"/>
    </row>
    <row r="254" spans="9:264">
      <c r="I254" s="30"/>
      <c r="J254" s="159" t="s">
        <v>815</v>
      </c>
      <c r="K254" s="159" t="s">
        <v>815</v>
      </c>
      <c r="L254" s="30">
        <v>0</v>
      </c>
      <c r="M254" s="30">
        <v>33</v>
      </c>
      <c r="N254" s="30">
        <v>0</v>
      </c>
      <c r="O254" s="30">
        <v>62</v>
      </c>
      <c r="P254" s="30">
        <v>55</v>
      </c>
      <c r="Q254" s="30">
        <v>54</v>
      </c>
      <c r="R254" s="30" t="s">
        <v>816</v>
      </c>
      <c r="S254" s="30" t="s">
        <v>817</v>
      </c>
      <c r="AS254" s="3"/>
      <c r="BD254" s="97"/>
      <c r="DC254" s="182"/>
      <c r="DD254" s="410">
        <f>DJ250</f>
        <v>0</v>
      </c>
      <c r="DE254" s="1" t="s">
        <v>3014</v>
      </c>
      <c r="DF254" s="190">
        <f>IF(DF253&gt;100,0,DF253)</f>
        <v>0</v>
      </c>
      <c r="DK254" s="182"/>
      <c r="DM254" s="2"/>
      <c r="DN254" s="37" t="s">
        <v>3236</v>
      </c>
      <c r="DO254" s="37" t="s">
        <v>3236</v>
      </c>
      <c r="DP254" s="37"/>
      <c r="DQ254" s="37"/>
      <c r="DR254" s="37"/>
      <c r="DS254" s="37" t="s">
        <v>3512</v>
      </c>
      <c r="DT254" s="175"/>
      <c r="DZ254" s="48"/>
      <c r="EL254" s="3"/>
      <c r="EM254" s="3"/>
      <c r="FK254" s="135"/>
      <c r="FY254" s="2"/>
      <c r="FZ254" s="37" t="s">
        <v>3234</v>
      </c>
      <c r="GA254" s="37" t="s">
        <v>3234</v>
      </c>
      <c r="GB254" s="37" t="s">
        <v>3234</v>
      </c>
      <c r="GC254" s="37" t="s">
        <v>4001</v>
      </c>
      <c r="GD254" s="37" t="s">
        <v>2711</v>
      </c>
      <c r="GF254" s="22"/>
      <c r="GL254" s="48"/>
      <c r="HJ254" s="48"/>
      <c r="IG254" s="1"/>
      <c r="IH254" s="1"/>
      <c r="II254" s="1"/>
      <c r="IJ254" s="1"/>
      <c r="IK254" s="1"/>
      <c r="IL254" s="1"/>
      <c r="IM254" s="1"/>
      <c r="IN254" s="1"/>
      <c r="IO254" s="1"/>
      <c r="IP254" s="1"/>
      <c r="IQ254" s="1"/>
      <c r="IR254" s="1"/>
      <c r="IS254" s="1"/>
      <c r="IT254" s="1"/>
      <c r="IU254" s="1"/>
      <c r="IV254" s="1"/>
      <c r="IW254" s="1"/>
      <c r="IX254" s="1"/>
      <c r="IY254" s="1"/>
      <c r="IZ254" s="1"/>
      <c r="JA254" s="1"/>
      <c r="JB254" s="1"/>
      <c r="JC254" s="1"/>
      <c r="JD254" s="135"/>
    </row>
    <row r="255" spans="9:264">
      <c r="I255" s="30"/>
      <c r="J255" s="159" t="s">
        <v>818</v>
      </c>
      <c r="K255" s="159" t="s">
        <v>818</v>
      </c>
      <c r="L255" s="30">
        <v>0</v>
      </c>
      <c r="M255" s="30">
        <v>44</v>
      </c>
      <c r="N255" s="30">
        <v>43.6</v>
      </c>
      <c r="O255" s="30">
        <v>48</v>
      </c>
      <c r="P255" s="30">
        <v>17</v>
      </c>
      <c r="Q255" s="30">
        <v>4</v>
      </c>
      <c r="R255" s="30" t="s">
        <v>819</v>
      </c>
      <c r="S255" s="30" t="s">
        <v>820</v>
      </c>
      <c r="AS255" s="3"/>
      <c r="BD255" s="97"/>
      <c r="DC255" s="182"/>
      <c r="DD255" s="182"/>
      <c r="DE255" s="182"/>
      <c r="DF255" s="182"/>
      <c r="DG255" s="182"/>
      <c r="DH255" s="182"/>
      <c r="DI255" s="182"/>
      <c r="DJ255" s="182"/>
      <c r="DK255" s="182"/>
      <c r="DM255" s="2"/>
      <c r="DN255" s="37" t="s">
        <v>3237</v>
      </c>
      <c r="DO255" s="37" t="s">
        <v>3237</v>
      </c>
      <c r="DP255" s="37"/>
      <c r="DQ255" s="37"/>
      <c r="DR255" s="37"/>
      <c r="DS255" s="37" t="s">
        <v>3511</v>
      </c>
      <c r="DT255" s="175"/>
      <c r="DZ255" s="48"/>
      <c r="EL255" s="3"/>
      <c r="EM255" s="3"/>
      <c r="FK255" s="135"/>
      <c r="FY255" s="2"/>
      <c r="FZ255" s="37" t="s">
        <v>3509</v>
      </c>
      <c r="GA255" s="37" t="s">
        <v>3509</v>
      </c>
      <c r="GB255" s="37" t="s">
        <v>3234</v>
      </c>
      <c r="GC255" s="37" t="s">
        <v>4001</v>
      </c>
      <c r="GD255" s="37" t="s">
        <v>2711</v>
      </c>
      <c r="GF255" s="22"/>
      <c r="GL255" s="48"/>
      <c r="HJ255" s="48"/>
      <c r="IG255" s="1"/>
      <c r="IH255" s="1"/>
      <c r="II255" s="1"/>
      <c r="IJ255" s="1"/>
      <c r="IK255" s="1"/>
      <c r="IL255" s="1"/>
      <c r="IM255" s="1"/>
      <c r="IN255" s="1"/>
      <c r="IO255" s="1"/>
      <c r="IP255" s="1"/>
      <c r="IQ255" s="1"/>
      <c r="IR255" s="1"/>
      <c r="IS255" s="1"/>
      <c r="IT255" s="1"/>
      <c r="IU255" s="1"/>
      <c r="IV255" s="1"/>
      <c r="IW255" s="1"/>
      <c r="IX255" s="1"/>
      <c r="IY255" s="1"/>
      <c r="IZ255" s="1"/>
      <c r="JA255" s="1"/>
      <c r="JB255" s="1"/>
      <c r="JC255" s="1"/>
      <c r="JD255" s="135"/>
    </row>
    <row r="256" spans="9:264">
      <c r="I256" s="24" t="s">
        <v>821</v>
      </c>
      <c r="J256" s="157" t="s">
        <v>822</v>
      </c>
      <c r="K256" s="157" t="s">
        <v>822</v>
      </c>
      <c r="L256" s="24" t="s">
        <v>39</v>
      </c>
      <c r="M256" s="24" t="s">
        <v>821</v>
      </c>
      <c r="N256" s="24" t="s">
        <v>821</v>
      </c>
      <c r="O256" s="24" t="s">
        <v>40</v>
      </c>
      <c r="P256" s="24" t="s">
        <v>823</v>
      </c>
      <c r="Q256" s="24" t="s">
        <v>824</v>
      </c>
      <c r="R256" s="24" t="s">
        <v>825</v>
      </c>
      <c r="S256" s="24" t="s">
        <v>823</v>
      </c>
      <c r="AS256" s="3"/>
      <c r="BD256" s="97"/>
      <c r="DC256" s="182"/>
      <c r="DD256" s="182"/>
      <c r="DE256" s="182"/>
      <c r="DF256" s="182"/>
      <c r="DG256" s="182"/>
      <c r="DH256" s="182"/>
      <c r="DI256" s="182"/>
      <c r="DJ256" s="182"/>
      <c r="DK256" s="182"/>
      <c r="DM256" s="2"/>
      <c r="DN256" s="37"/>
      <c r="DO256" s="37"/>
      <c r="DP256" s="37"/>
      <c r="DQ256" s="37"/>
      <c r="DR256" s="37"/>
      <c r="DS256" s="175"/>
      <c r="DT256" s="6"/>
      <c r="DZ256" s="48"/>
      <c r="EL256" s="3"/>
      <c r="EM256" s="3"/>
      <c r="FK256" s="135"/>
      <c r="FY256" s="2"/>
      <c r="FZ256" s="37" t="s">
        <v>2708</v>
      </c>
      <c r="GA256" s="37" t="s">
        <v>2708</v>
      </c>
      <c r="GB256" s="37" t="s">
        <v>3234</v>
      </c>
      <c r="GC256" s="37" t="s">
        <v>4001</v>
      </c>
      <c r="GD256" s="37" t="s">
        <v>2711</v>
      </c>
      <c r="GF256" s="22"/>
      <c r="GL256" s="48"/>
      <c r="HJ256" s="48"/>
      <c r="IG256" s="1"/>
      <c r="IH256" s="1"/>
      <c r="II256" s="1"/>
      <c r="IJ256" s="1"/>
      <c r="IK256" s="1"/>
      <c r="IL256" s="1"/>
      <c r="IM256" s="1"/>
      <c r="IN256" s="1"/>
      <c r="IO256" s="1"/>
      <c r="IP256" s="1"/>
      <c r="IQ256" s="1"/>
      <c r="IR256" s="1"/>
      <c r="IS256" s="1"/>
      <c r="IT256" s="1"/>
      <c r="IU256" s="1"/>
      <c r="IV256" s="1"/>
      <c r="IW256" s="1"/>
      <c r="IX256" s="1"/>
      <c r="IY256" s="1"/>
      <c r="IZ256" s="1"/>
      <c r="JA256" s="1"/>
      <c r="JB256" s="1"/>
      <c r="JC256" s="1"/>
      <c r="JD256" s="135"/>
    </row>
    <row r="257" spans="9:264">
      <c r="I257" s="22"/>
      <c r="J257" s="156" t="s">
        <v>826</v>
      </c>
      <c r="K257" s="156" t="s">
        <v>826</v>
      </c>
      <c r="L257" s="22">
        <v>14</v>
      </c>
      <c r="M257" s="22">
        <v>6</v>
      </c>
      <c r="N257" s="22">
        <v>40.9</v>
      </c>
      <c r="O257" s="22">
        <v>-36</v>
      </c>
      <c r="P257" s="22">
        <v>-22</v>
      </c>
      <c r="Q257" s="22">
        <v>-12</v>
      </c>
      <c r="R257" s="22" t="s">
        <v>827</v>
      </c>
      <c r="S257" s="22" t="s">
        <v>828</v>
      </c>
      <c r="AS257" s="3"/>
      <c r="BD257" s="97"/>
      <c r="DC257" s="182"/>
      <c r="DD257" s="175"/>
      <c r="DE257" s="267" t="s">
        <v>2998</v>
      </c>
      <c r="DF257" s="57">
        <f>DF295</f>
        <v>0</v>
      </c>
      <c r="DG257" s="175"/>
      <c r="DH257" s="175"/>
      <c r="DI257" s="175"/>
      <c r="DJ257" s="175"/>
      <c r="DK257" s="182"/>
      <c r="DM257" s="2"/>
      <c r="DN257" s="107"/>
      <c r="DO257" s="107"/>
      <c r="DP257" s="107"/>
      <c r="DQ257" s="107"/>
      <c r="DR257" s="107" t="str">
        <f xml:space="preserve"> ""</f>
        <v/>
      </c>
      <c r="DS257" s="426"/>
      <c r="DT257" s="6"/>
      <c r="DZ257" s="48"/>
      <c r="EL257" s="3"/>
      <c r="EM257" s="3"/>
      <c r="FK257" s="135"/>
      <c r="FY257" s="2"/>
      <c r="FZ257" s="37" t="s">
        <v>3235</v>
      </c>
      <c r="GA257" s="37" t="s">
        <v>3235</v>
      </c>
      <c r="GB257" s="37"/>
      <c r="GC257" s="37"/>
      <c r="GD257" s="37"/>
      <c r="GF257" s="37" t="s">
        <v>3510</v>
      </c>
      <c r="GL257" s="48"/>
      <c r="HJ257" s="48"/>
      <c r="IG257" s="1"/>
      <c r="IH257" s="1"/>
      <c r="II257" s="1"/>
      <c r="IJ257" s="1"/>
      <c r="IK257" s="1"/>
      <c r="IL257" s="1"/>
      <c r="IM257" s="1"/>
      <c r="IN257" s="1"/>
      <c r="IO257" s="1"/>
      <c r="IP257" s="1"/>
      <c r="IQ257" s="1"/>
      <c r="IR257" s="1"/>
      <c r="IS257" s="1"/>
      <c r="IT257" s="1"/>
      <c r="IU257" s="1"/>
      <c r="IV257" s="1"/>
      <c r="IW257" s="1"/>
      <c r="IX257" s="1"/>
      <c r="IY257" s="1"/>
      <c r="IZ257" s="1"/>
      <c r="JA257" s="1"/>
      <c r="JB257" s="1"/>
      <c r="JC257" s="1"/>
      <c r="JD257" s="135"/>
    </row>
    <row r="258" spans="9:264">
      <c r="I258" s="22"/>
      <c r="J258" s="156" t="s">
        <v>829</v>
      </c>
      <c r="K258" s="156" t="s">
        <v>829</v>
      </c>
      <c r="L258" s="22">
        <v>13</v>
      </c>
      <c r="M258" s="22">
        <v>20</v>
      </c>
      <c r="N258" s="22">
        <v>35.799999999999997</v>
      </c>
      <c r="O258" s="22">
        <v>-36</v>
      </c>
      <c r="P258" s="22">
        <v>-42</v>
      </c>
      <c r="Q258" s="22">
        <v>-44</v>
      </c>
      <c r="R258" s="22" t="s">
        <v>830</v>
      </c>
      <c r="S258" s="22" t="s">
        <v>831</v>
      </c>
      <c r="AS258" s="3"/>
      <c r="BD258" s="97"/>
      <c r="DC258" s="182"/>
      <c r="DD258" s="402"/>
      <c r="DE258" s="402" t="s">
        <v>2935</v>
      </c>
      <c r="DF258" s="195">
        <f>IF(DF257&lt;10,0,DF257)</f>
        <v>0</v>
      </c>
      <c r="DG258" s="403" t="s">
        <v>2999</v>
      </c>
      <c r="DH258" s="402"/>
      <c r="DI258" s="402"/>
      <c r="DJ258" s="402"/>
      <c r="DK258" s="182"/>
      <c r="DM258" s="2"/>
      <c r="DN258" s="48"/>
      <c r="DO258" s="48"/>
      <c r="DP258" s="48"/>
      <c r="DQ258" s="48"/>
      <c r="DR258" s="48"/>
      <c r="DS258" s="48"/>
      <c r="DT258" s="48"/>
      <c r="DU258" s="48"/>
      <c r="DV258" s="48"/>
      <c r="DW258" s="48"/>
      <c r="DX258" s="48"/>
      <c r="DY258" s="48"/>
      <c r="DZ258" s="48"/>
      <c r="EL258" s="3"/>
      <c r="EM258" s="3"/>
      <c r="FK258" s="135"/>
      <c r="FY258" s="2"/>
      <c r="FZ258" s="37" t="s">
        <v>3236</v>
      </c>
      <c r="GA258" s="37" t="s">
        <v>3236</v>
      </c>
      <c r="GB258" s="37"/>
      <c r="GC258" s="37"/>
      <c r="GD258" s="37"/>
      <c r="GF258" s="37" t="s">
        <v>3512</v>
      </c>
      <c r="GL258" s="48"/>
      <c r="HJ258" s="48"/>
      <c r="IG258" s="1"/>
      <c r="IH258" s="1"/>
      <c r="II258" s="1"/>
      <c r="IJ258" s="1"/>
      <c r="IK258" s="1"/>
      <c r="IL258" s="1"/>
      <c r="IM258" s="1"/>
      <c r="IN258" s="1"/>
      <c r="IO258" s="1"/>
      <c r="IP258" s="1"/>
      <c r="IQ258" s="1"/>
      <c r="IR258" s="1"/>
      <c r="IS258" s="1"/>
      <c r="IT258" s="1"/>
      <c r="IU258" s="1"/>
      <c r="IV258" s="1"/>
      <c r="IW258" s="1"/>
      <c r="IX258" s="1"/>
      <c r="IY258" s="1"/>
      <c r="IZ258" s="1"/>
      <c r="JA258" s="1"/>
      <c r="JB258" s="1"/>
      <c r="JC258" s="1"/>
      <c r="JD258" s="135"/>
    </row>
    <row r="259" spans="9:264">
      <c r="I259" s="24" t="s">
        <v>832</v>
      </c>
      <c r="J259" s="157" t="s">
        <v>833</v>
      </c>
      <c r="K259" s="157" t="s">
        <v>833</v>
      </c>
      <c r="L259" s="24" t="s">
        <v>39</v>
      </c>
      <c r="M259" s="24" t="s">
        <v>832</v>
      </c>
      <c r="N259" s="24" t="s">
        <v>832</v>
      </c>
      <c r="O259" s="24" t="s">
        <v>40</v>
      </c>
      <c r="P259" s="24" t="s">
        <v>834</v>
      </c>
      <c r="Q259" s="24" t="s">
        <v>835</v>
      </c>
      <c r="R259" s="24" t="s">
        <v>836</v>
      </c>
      <c r="S259" s="24" t="s">
        <v>834</v>
      </c>
      <c r="AS259" s="3"/>
      <c r="BD259" s="97"/>
      <c r="DC259" s="182"/>
      <c r="DE259" s="1" t="s">
        <v>2933</v>
      </c>
      <c r="DF259" s="404">
        <f>IF(DF258&lt;100,DF258,0)</f>
        <v>0</v>
      </c>
      <c r="DG259" s="1" t="s">
        <v>2931</v>
      </c>
      <c r="DH259" s="405">
        <f t="shared" ref="DH259:DH267" si="14">IF(DF260=0,DF259,0)</f>
        <v>0</v>
      </c>
      <c r="DI259" s="1" t="s">
        <v>2936</v>
      </c>
      <c r="DJ259" s="170">
        <f>IF(DH259&gt;0,90,0)</f>
        <v>0</v>
      </c>
      <c r="DK259" s="182"/>
      <c r="EL259" s="3"/>
      <c r="EM259" s="3"/>
      <c r="FK259" s="135"/>
      <c r="FY259" s="2"/>
      <c r="FZ259" s="37" t="s">
        <v>3237</v>
      </c>
      <c r="GA259" s="37" t="s">
        <v>3237</v>
      </c>
      <c r="GB259" s="37"/>
      <c r="GC259" s="37"/>
      <c r="GD259" s="37"/>
      <c r="GF259" s="37" t="s">
        <v>3511</v>
      </c>
      <c r="GL259" s="48"/>
      <c r="HJ259" s="48"/>
      <c r="IG259" s="1"/>
      <c r="IH259" s="1"/>
      <c r="II259" s="1"/>
      <c r="IJ259" s="1"/>
      <c r="IK259" s="1"/>
      <c r="IL259" s="1"/>
      <c r="IM259" s="1"/>
      <c r="IN259" s="1"/>
      <c r="IO259" s="1"/>
      <c r="IP259" s="1"/>
      <c r="IQ259" s="1"/>
      <c r="IR259" s="1"/>
      <c r="IS259" s="1"/>
      <c r="IT259" s="1"/>
      <c r="IU259" s="1"/>
      <c r="IV259" s="1"/>
      <c r="IW259" s="1"/>
      <c r="IX259" s="1"/>
      <c r="IY259" s="1"/>
      <c r="IZ259" s="1"/>
      <c r="JA259" s="1"/>
      <c r="JB259" s="1"/>
      <c r="JC259" s="1"/>
      <c r="JD259" s="135"/>
    </row>
    <row r="260" spans="9:264">
      <c r="I260" s="22"/>
      <c r="J260" s="156" t="s">
        <v>837</v>
      </c>
      <c r="K260" s="156" t="s">
        <v>837</v>
      </c>
      <c r="L260" s="22">
        <v>3</v>
      </c>
      <c r="M260" s="22">
        <v>2</v>
      </c>
      <c r="N260" s="22">
        <v>16.8</v>
      </c>
      <c r="O260" s="22">
        <v>4</v>
      </c>
      <c r="P260" s="22">
        <v>5</v>
      </c>
      <c r="Q260" s="22">
        <v>23</v>
      </c>
      <c r="R260" s="22" t="s">
        <v>838</v>
      </c>
      <c r="S260" s="22" t="s">
        <v>839</v>
      </c>
      <c r="AS260" s="3"/>
      <c r="BD260" s="97"/>
      <c r="DC260" s="182"/>
      <c r="DE260" s="1" t="s">
        <v>2937</v>
      </c>
      <c r="DF260" s="404">
        <f>IF(DF258&lt;90,DF258,0)</f>
        <v>0</v>
      </c>
      <c r="DG260" s="1" t="s">
        <v>2931</v>
      </c>
      <c r="DH260" s="405">
        <f t="shared" si="14"/>
        <v>0</v>
      </c>
      <c r="DI260" s="1" t="s">
        <v>2938</v>
      </c>
      <c r="DJ260" s="170">
        <f>IF(DH260&gt;0,80,0)</f>
        <v>0</v>
      </c>
      <c r="DK260" s="182"/>
      <c r="EL260" s="3"/>
      <c r="EM260" s="3"/>
      <c r="FK260" s="135"/>
      <c r="FY260" s="2"/>
      <c r="FZ260" s="37"/>
      <c r="GA260" s="37"/>
      <c r="GB260" s="37"/>
      <c r="GC260" s="37"/>
      <c r="GD260" s="37"/>
      <c r="GF260" s="175"/>
      <c r="GL260" s="48"/>
      <c r="HJ260" s="48"/>
      <c r="IG260" s="1"/>
      <c r="IH260" s="1"/>
      <c r="II260" s="1"/>
      <c r="IJ260" s="1"/>
      <c r="IK260" s="1"/>
      <c r="IL260" s="1"/>
      <c r="IM260" s="1"/>
      <c r="IN260" s="1"/>
      <c r="IO260" s="1"/>
      <c r="IP260" s="1"/>
      <c r="IQ260" s="1"/>
      <c r="IR260" s="1"/>
      <c r="IS260" s="1"/>
      <c r="IT260" s="1"/>
      <c r="IU260" s="1"/>
      <c r="IV260" s="1"/>
      <c r="IW260" s="1"/>
      <c r="IX260" s="1"/>
      <c r="IY260" s="1"/>
      <c r="IZ260" s="1"/>
      <c r="JA260" s="1"/>
      <c r="JB260" s="1"/>
      <c r="JC260" s="1"/>
      <c r="JD260" s="135"/>
    </row>
    <row r="261" spans="9:264">
      <c r="I261" s="22"/>
      <c r="J261" s="156" t="s">
        <v>840</v>
      </c>
      <c r="K261" s="156" t="s">
        <v>840</v>
      </c>
      <c r="L261" s="22">
        <v>0</v>
      </c>
      <c r="M261" s="22">
        <v>43</v>
      </c>
      <c r="N261" s="22">
        <v>35.4</v>
      </c>
      <c r="O261" s="22">
        <v>-17</v>
      </c>
      <c r="P261" s="22">
        <v>-59</v>
      </c>
      <c r="Q261" s="22">
        <v>-12</v>
      </c>
      <c r="R261" s="22" t="s">
        <v>841</v>
      </c>
      <c r="S261" s="22" t="s">
        <v>842</v>
      </c>
      <c r="AS261" s="3"/>
      <c r="BD261" s="97"/>
      <c r="DC261" s="182"/>
      <c r="DE261" s="1" t="s">
        <v>2939</v>
      </c>
      <c r="DF261" s="404">
        <f>IF(DF258&lt;80,DF258,0)</f>
        <v>0</v>
      </c>
      <c r="DG261" s="1" t="s">
        <v>2931</v>
      </c>
      <c r="DH261" s="405">
        <f t="shared" si="14"/>
        <v>0</v>
      </c>
      <c r="DI261" s="1" t="s">
        <v>2940</v>
      </c>
      <c r="DJ261" s="170">
        <f>IF(DH261&gt;0,70,0)</f>
        <v>0</v>
      </c>
      <c r="DK261" s="182"/>
      <c r="EL261" s="3"/>
      <c r="EM261" s="3"/>
      <c r="FK261" s="135"/>
      <c r="FY261" s="2"/>
      <c r="FZ261" s="107"/>
      <c r="GA261" s="107"/>
      <c r="GB261" s="107"/>
      <c r="GC261" s="107"/>
      <c r="GD261" s="107" t="str">
        <f xml:space="preserve"> ""</f>
        <v/>
      </c>
      <c r="GF261" s="426"/>
      <c r="GL261" s="48"/>
      <c r="HJ261" s="48"/>
      <c r="IG261" s="1"/>
      <c r="IH261" s="1"/>
      <c r="II261" s="1"/>
      <c r="IJ261" s="1"/>
      <c r="IK261" s="1"/>
      <c r="IL261" s="1"/>
      <c r="IM261" s="1"/>
      <c r="IN261" s="1"/>
      <c r="IO261" s="1"/>
      <c r="IP261" s="1"/>
      <c r="IQ261" s="1"/>
      <c r="IR261" s="1"/>
      <c r="IS261" s="1"/>
      <c r="IT261" s="1"/>
      <c r="IU261" s="1"/>
      <c r="IV261" s="1"/>
      <c r="IW261" s="1"/>
      <c r="IX261" s="1"/>
      <c r="IY261" s="1"/>
      <c r="IZ261" s="1"/>
      <c r="JA261" s="1"/>
      <c r="JB261" s="1"/>
      <c r="JC261" s="1"/>
      <c r="JD261" s="135"/>
    </row>
    <row r="262" spans="9:264">
      <c r="I262" s="22"/>
      <c r="J262" s="156" t="s">
        <v>843</v>
      </c>
      <c r="K262" s="156" t="s">
        <v>843</v>
      </c>
      <c r="L262" s="22">
        <v>2</v>
      </c>
      <c r="M262" s="22">
        <v>43</v>
      </c>
      <c r="N262" s="22">
        <v>18</v>
      </c>
      <c r="O262" s="22">
        <v>3</v>
      </c>
      <c r="P262" s="22">
        <v>14</v>
      </c>
      <c r="Q262" s="22">
        <v>9</v>
      </c>
      <c r="R262" s="22" t="s">
        <v>844</v>
      </c>
      <c r="S262" s="22" t="s">
        <v>845</v>
      </c>
      <c r="AS262" s="3"/>
      <c r="BD262" s="97"/>
      <c r="DC262" s="182"/>
      <c r="DE262" s="1" t="s">
        <v>2941</v>
      </c>
      <c r="DF262" s="404">
        <f>IF(DF258&lt;70,DF258,0)</f>
        <v>0</v>
      </c>
      <c r="DG262" s="1" t="s">
        <v>2931</v>
      </c>
      <c r="DH262" s="405">
        <f t="shared" si="14"/>
        <v>0</v>
      </c>
      <c r="DI262" s="1" t="s">
        <v>2942</v>
      </c>
      <c r="DJ262" s="170">
        <f>IF(DH262&gt;0,60,0)</f>
        <v>0</v>
      </c>
      <c r="DK262" s="182"/>
      <c r="EL262" s="3"/>
      <c r="EM262" s="3"/>
      <c r="FK262" s="135"/>
      <c r="FY262" s="2"/>
      <c r="FZ262" s="48"/>
      <c r="GA262" s="48"/>
      <c r="GB262" s="48"/>
      <c r="GC262" s="48"/>
      <c r="GD262" s="48"/>
      <c r="GE262" s="48"/>
      <c r="GF262" s="48"/>
      <c r="GG262" s="48"/>
      <c r="GH262" s="48"/>
      <c r="GI262" s="48"/>
      <c r="GJ262" s="48"/>
      <c r="GK262" s="48"/>
      <c r="GL262" s="48"/>
      <c r="GM262" s="48"/>
      <c r="GN262" s="48"/>
      <c r="GO262" s="48"/>
      <c r="GP262" s="48"/>
      <c r="GQ262" s="48"/>
      <c r="GR262" s="48"/>
      <c r="GS262" s="48"/>
      <c r="GT262" s="48"/>
      <c r="GU262" s="48"/>
      <c r="GV262" s="48"/>
      <c r="GW262" s="48"/>
      <c r="GX262" s="48"/>
      <c r="GY262" s="48"/>
      <c r="GZ262" s="48"/>
      <c r="HA262" s="48"/>
      <c r="HB262" s="48"/>
      <c r="HC262" s="48"/>
      <c r="HD262" s="48"/>
      <c r="HE262" s="48"/>
      <c r="HF262" s="48"/>
      <c r="HG262" s="48"/>
      <c r="HH262" s="48"/>
      <c r="HI262" s="48"/>
      <c r="HJ262" s="48"/>
      <c r="IG262" s="1"/>
      <c r="IH262" s="1"/>
      <c r="II262" s="1"/>
      <c r="IJ262" s="1"/>
      <c r="IK262" s="1"/>
      <c r="IL262" s="1"/>
      <c r="IM262" s="1"/>
      <c r="IN262" s="1"/>
      <c r="IO262" s="1"/>
      <c r="IP262" s="1"/>
      <c r="IQ262" s="1"/>
      <c r="IR262" s="1"/>
      <c r="IS262" s="1"/>
      <c r="IT262" s="1"/>
      <c r="IU262" s="1"/>
      <c r="IV262" s="1"/>
      <c r="IW262" s="1"/>
      <c r="IX262" s="1"/>
      <c r="IY262" s="1"/>
      <c r="IZ262" s="1"/>
      <c r="JA262" s="1"/>
      <c r="JB262" s="1"/>
      <c r="JC262" s="1"/>
      <c r="JD262" s="135"/>
    </row>
    <row r="263" spans="9:264">
      <c r="I263" s="22"/>
      <c r="J263" s="156" t="s">
        <v>846</v>
      </c>
      <c r="K263" s="156" t="s">
        <v>846</v>
      </c>
      <c r="L263" s="22">
        <v>2</v>
      </c>
      <c r="M263" s="22">
        <v>39</v>
      </c>
      <c r="N263" s="22">
        <v>29</v>
      </c>
      <c r="O263" s="22">
        <v>0</v>
      </c>
      <c r="P263" s="22">
        <v>19</v>
      </c>
      <c r="Q263" s="22">
        <v>43</v>
      </c>
      <c r="R263" s="22" t="s">
        <v>847</v>
      </c>
      <c r="S263" s="22" t="s">
        <v>848</v>
      </c>
      <c r="AS263" s="3"/>
      <c r="BD263" s="97"/>
      <c r="DC263" s="182"/>
      <c r="DE263" s="1" t="s">
        <v>2943</v>
      </c>
      <c r="DF263" s="404">
        <f>IF(DF258&lt;60,DF258,0)</f>
        <v>0</v>
      </c>
      <c r="DG263" s="1" t="s">
        <v>2931</v>
      </c>
      <c r="DH263" s="405">
        <f t="shared" si="14"/>
        <v>0</v>
      </c>
      <c r="DI263" s="1" t="s">
        <v>2944</v>
      </c>
      <c r="DJ263" s="170">
        <f>IF(DH263&gt;0,50,0)</f>
        <v>0</v>
      </c>
      <c r="DK263" s="182"/>
      <c r="EL263" s="3"/>
      <c r="EM263" s="3"/>
      <c r="FK263" s="135"/>
      <c r="FL263" s="182"/>
      <c r="FM263" s="182"/>
      <c r="FN263" s="182"/>
      <c r="FO263" s="182"/>
      <c r="FP263" s="182"/>
      <c r="FQ263" s="182"/>
      <c r="FR263" s="182"/>
      <c r="FS263" s="182"/>
      <c r="FT263" s="182"/>
      <c r="FU263" s="182"/>
      <c r="FV263" s="182"/>
      <c r="FW263" s="182"/>
      <c r="FX263" s="182"/>
      <c r="FY263" s="182"/>
      <c r="FZ263" s="182"/>
      <c r="GA263" s="182"/>
      <c r="GB263" s="182"/>
      <c r="GC263" s="182"/>
      <c r="GD263" s="182"/>
      <c r="GE263" s="182"/>
      <c r="GF263" s="182"/>
      <c r="GG263" s="182"/>
      <c r="GH263" s="182"/>
      <c r="GI263" s="182"/>
      <c r="GJ263" s="182"/>
      <c r="GK263" s="182"/>
      <c r="GL263" s="182"/>
      <c r="GM263" s="182"/>
      <c r="GN263" s="182"/>
      <c r="GO263" s="182"/>
      <c r="GP263" s="182"/>
      <c r="GQ263" s="182"/>
      <c r="GR263" s="182"/>
      <c r="GS263" s="182"/>
      <c r="GT263" s="182"/>
      <c r="GU263" s="182"/>
      <c r="GV263" s="182"/>
      <c r="GW263" s="182"/>
      <c r="GX263" s="182"/>
      <c r="GY263" s="182"/>
      <c r="GZ263" s="182"/>
      <c r="HA263" s="182"/>
      <c r="HB263" s="182"/>
      <c r="HC263" s="182"/>
      <c r="HD263" s="182"/>
      <c r="HE263" s="182"/>
      <c r="HF263" s="182"/>
      <c r="HG263" s="182"/>
      <c r="HH263" s="182"/>
      <c r="HI263" s="182"/>
      <c r="HJ263" s="182"/>
      <c r="HK263" s="182"/>
      <c r="HL263" s="182"/>
      <c r="HM263" s="182"/>
      <c r="HN263" s="182"/>
      <c r="HO263" s="182"/>
      <c r="HP263" s="182"/>
      <c r="HQ263" s="182"/>
      <c r="HR263" s="182"/>
      <c r="HS263" s="182"/>
      <c r="HT263" s="182"/>
      <c r="HU263" s="182"/>
      <c r="HV263" s="182"/>
      <c r="HW263" s="182"/>
      <c r="HX263" s="182"/>
      <c r="HY263" s="182"/>
      <c r="HZ263" s="182"/>
      <c r="IA263" s="182"/>
      <c r="IB263" s="182"/>
      <c r="IC263" s="182"/>
      <c r="ID263" s="182"/>
      <c r="IE263" s="182"/>
      <c r="IF263" s="182"/>
      <c r="IG263" s="182"/>
      <c r="IH263" s="182"/>
      <c r="II263" s="182"/>
      <c r="IJ263" s="182"/>
      <c r="IK263" s="182"/>
      <c r="IL263" s="182"/>
      <c r="IM263" s="182"/>
      <c r="IN263" s="182"/>
      <c r="IO263" s="182"/>
      <c r="IP263" s="182"/>
      <c r="IQ263" s="182"/>
      <c r="IR263" s="182"/>
      <c r="IS263" s="182"/>
      <c r="IT263" s="182"/>
      <c r="IU263" s="182"/>
      <c r="IV263" s="182"/>
      <c r="IW263" s="182"/>
      <c r="IX263" s="182"/>
      <c r="IY263" s="182"/>
      <c r="IZ263" s="182"/>
      <c r="JA263" s="182"/>
      <c r="JB263" s="182"/>
      <c r="JC263" s="182"/>
      <c r="JD263" s="135"/>
    </row>
    <row r="264" spans="9:264">
      <c r="I264" s="22"/>
      <c r="J264" s="112" t="s">
        <v>849</v>
      </c>
      <c r="K264" s="112" t="s">
        <v>849</v>
      </c>
      <c r="L264" s="37">
        <v>1</v>
      </c>
      <c r="M264" s="37">
        <v>51</v>
      </c>
      <c r="N264" s="37">
        <v>27.6</v>
      </c>
      <c r="O264" s="37">
        <v>-10</v>
      </c>
      <c r="P264" s="37">
        <v>-20</v>
      </c>
      <c r="Q264" s="37">
        <v>-6</v>
      </c>
      <c r="R264" s="22" t="s">
        <v>850</v>
      </c>
      <c r="S264" s="22" t="s">
        <v>851</v>
      </c>
      <c r="AS264" s="3"/>
      <c r="BD264" s="97"/>
      <c r="DC264" s="182"/>
      <c r="DE264" s="1" t="s">
        <v>2945</v>
      </c>
      <c r="DF264" s="404">
        <f>IF(DF258&lt;50,DF258,0)</f>
        <v>0</v>
      </c>
      <c r="DG264" s="1" t="s">
        <v>2931</v>
      </c>
      <c r="DH264" s="405">
        <f t="shared" si="14"/>
        <v>0</v>
      </c>
      <c r="DI264" s="1" t="s">
        <v>2946</v>
      </c>
      <c r="DJ264" s="170">
        <f>IF(DH264&gt;0,40,0)</f>
        <v>0</v>
      </c>
      <c r="DK264" s="182"/>
      <c r="EL264" s="3"/>
      <c r="EM264" s="3"/>
      <c r="FK264" s="135"/>
      <c r="IG264" s="1"/>
      <c r="IH264" s="1"/>
      <c r="II264" s="1"/>
      <c r="IJ264" s="1"/>
      <c r="IK264" s="1"/>
      <c r="IL264" s="1"/>
      <c r="IM264" s="1"/>
      <c r="IN264" s="1"/>
      <c r="IO264" s="1"/>
      <c r="IP264" s="1"/>
      <c r="IQ264" s="1"/>
      <c r="IR264" s="1"/>
      <c r="IS264" s="1"/>
      <c r="IT264" s="1"/>
      <c r="IU264" s="1"/>
      <c r="IV264" s="1"/>
      <c r="IW264" s="1"/>
      <c r="IX264" s="1"/>
      <c r="IY264" s="1"/>
      <c r="IZ264" s="1"/>
      <c r="JA264" s="1"/>
      <c r="JB264" s="1"/>
      <c r="JC264" s="1"/>
      <c r="JD264" s="135"/>
    </row>
    <row r="265" spans="9:264">
      <c r="I265" s="22"/>
      <c r="J265" s="156" t="s">
        <v>852</v>
      </c>
      <c r="K265" s="156" t="s">
        <v>852</v>
      </c>
      <c r="L265" s="22">
        <v>1</v>
      </c>
      <c r="M265" s="22">
        <v>8</v>
      </c>
      <c r="N265" s="22">
        <v>35.4</v>
      </c>
      <c r="O265" s="22">
        <v>-10</v>
      </c>
      <c r="P265" s="22">
        <v>-10</v>
      </c>
      <c r="Q265" s="22">
        <v>-56</v>
      </c>
      <c r="R265" s="22" t="s">
        <v>853</v>
      </c>
      <c r="S265" s="22" t="s">
        <v>854</v>
      </c>
      <c r="AS265" s="3"/>
      <c r="BD265" s="97"/>
      <c r="DC265" s="182"/>
      <c r="DE265" s="1" t="s">
        <v>2947</v>
      </c>
      <c r="DF265" s="404">
        <f>IF(DF258&lt;40,DF258,0)</f>
        <v>0</v>
      </c>
      <c r="DG265" s="1" t="s">
        <v>2931</v>
      </c>
      <c r="DH265" s="405">
        <f t="shared" si="14"/>
        <v>0</v>
      </c>
      <c r="DI265" s="1" t="s">
        <v>2948</v>
      </c>
      <c r="DJ265" s="170">
        <f>IF(DH265&gt;0,30,0)</f>
        <v>0</v>
      </c>
      <c r="DK265" s="182"/>
      <c r="EL265" s="3"/>
      <c r="EM265" s="3"/>
      <c r="FK265" s="135"/>
      <c r="FL265" s="566" t="s">
        <v>3614</v>
      </c>
      <c r="FM265" s="182"/>
      <c r="FN265" s="182"/>
      <c r="FO265" s="182"/>
      <c r="FP265" s="182"/>
      <c r="FQ265" s="182"/>
      <c r="FR265" s="182"/>
      <c r="FS265" s="182"/>
      <c r="FT265" s="182"/>
      <c r="FU265" s="182"/>
      <c r="FV265" s="182"/>
      <c r="FW265" s="182"/>
      <c r="FX265" s="182"/>
      <c r="FY265" s="182"/>
      <c r="FZ265" s="182"/>
      <c r="GA265" s="182"/>
      <c r="GB265" s="182"/>
      <c r="GC265" s="182"/>
      <c r="GD265" s="182"/>
      <c r="GE265" s="182"/>
      <c r="GF265" s="182"/>
      <c r="GG265" s="182"/>
      <c r="GH265" s="182"/>
      <c r="GI265" s="182"/>
      <c r="GJ265" s="182"/>
      <c r="GK265" s="182"/>
      <c r="GL265" s="182"/>
      <c r="GM265" s="182"/>
      <c r="GN265" s="182"/>
      <c r="GO265" s="182"/>
      <c r="GP265" s="182"/>
      <c r="GQ265" s="182"/>
      <c r="GR265" s="182"/>
      <c r="GS265" s="182"/>
      <c r="GT265" s="182"/>
      <c r="GU265" s="182"/>
      <c r="GV265" s="182"/>
      <c r="GW265" s="182"/>
      <c r="GX265" s="182"/>
      <c r="GY265" s="182"/>
      <c r="GZ265" s="182"/>
      <c r="HA265" s="182"/>
      <c r="HB265" s="182"/>
      <c r="HC265" s="182"/>
      <c r="HD265" s="182"/>
      <c r="HE265" s="182"/>
      <c r="HF265" s="182"/>
      <c r="HG265" s="182"/>
      <c r="HH265" s="182"/>
      <c r="HI265" s="182"/>
      <c r="HJ265" s="182"/>
      <c r="HK265" s="182"/>
      <c r="HL265" s="182"/>
      <c r="HM265" s="182"/>
      <c r="HN265" s="182"/>
      <c r="HO265" s="182"/>
      <c r="HP265" s="182"/>
      <c r="HQ265" s="182"/>
      <c r="HR265" s="182"/>
      <c r="HS265" s="182"/>
      <c r="HT265" s="182"/>
      <c r="HU265" s="182"/>
      <c r="HV265" s="182"/>
      <c r="HW265" s="182"/>
      <c r="HX265" s="182"/>
      <c r="HY265" s="182"/>
      <c r="HZ265" s="182"/>
      <c r="IA265" s="182"/>
      <c r="IB265" s="182"/>
      <c r="IC265" s="182"/>
      <c r="ID265" s="182"/>
      <c r="IE265" s="182"/>
      <c r="IF265" s="182"/>
      <c r="IG265" s="182"/>
      <c r="IH265" s="182"/>
      <c r="II265" s="182"/>
      <c r="IJ265" s="182"/>
      <c r="IK265" s="182"/>
      <c r="IL265" s="182"/>
      <c r="IM265" s="182"/>
      <c r="IN265" s="182"/>
      <c r="IO265" s="182"/>
      <c r="IP265" s="182"/>
      <c r="IQ265" s="182"/>
      <c r="IR265" s="182"/>
      <c r="IS265" s="182"/>
      <c r="IT265" s="182"/>
      <c r="IU265" s="182"/>
      <c r="IV265" s="182"/>
      <c r="IW265" s="182"/>
      <c r="IX265" s="182"/>
      <c r="IY265" s="182"/>
      <c r="IZ265" s="182"/>
      <c r="JA265" s="182"/>
      <c r="JB265" s="182"/>
      <c r="JC265" s="182"/>
      <c r="JD265" s="135"/>
    </row>
    <row r="266" spans="9:264">
      <c r="I266" s="22"/>
      <c r="J266" s="156" t="s">
        <v>855</v>
      </c>
      <c r="K266" s="156" t="s">
        <v>855</v>
      </c>
      <c r="L266" s="22">
        <v>1</v>
      </c>
      <c r="M266" s="22">
        <v>24</v>
      </c>
      <c r="N266" s="22">
        <v>1.4</v>
      </c>
      <c r="O266" s="22">
        <v>-8</v>
      </c>
      <c r="P266" s="22">
        <v>-11</v>
      </c>
      <c r="Q266" s="22">
        <v>0</v>
      </c>
      <c r="R266" s="22" t="s">
        <v>856</v>
      </c>
      <c r="S266" s="22" t="s">
        <v>857</v>
      </c>
      <c r="AS266" s="3"/>
      <c r="BD266" s="97"/>
      <c r="DC266" s="182"/>
      <c r="DE266" s="1" t="s">
        <v>2949</v>
      </c>
      <c r="DF266" s="404">
        <f>IF(DF258&lt;30,DF258,0)</f>
        <v>0</v>
      </c>
      <c r="DG266" s="1" t="s">
        <v>2931</v>
      </c>
      <c r="DH266" s="405">
        <f t="shared" si="14"/>
        <v>0</v>
      </c>
      <c r="DI266" s="1" t="s">
        <v>2950</v>
      </c>
      <c r="DJ266" s="170">
        <f>IF(DH266&gt;0,20,0)</f>
        <v>0</v>
      </c>
      <c r="DK266" s="182"/>
      <c r="EL266" s="3"/>
      <c r="EM266" s="3"/>
      <c r="FK266" s="135"/>
      <c r="FL266" s="515" t="s">
        <v>3615</v>
      </c>
      <c r="FM266" s="178"/>
      <c r="FN266" s="178"/>
      <c r="FO266" s="178"/>
      <c r="FP266" s="178"/>
      <c r="FQ266" s="178"/>
      <c r="FR266" s="178"/>
      <c r="FS266" s="178"/>
      <c r="FT266" s="178"/>
      <c r="FU266" s="178"/>
      <c r="FV266" s="178"/>
      <c r="FW266" s="178"/>
      <c r="FX266" s="178"/>
      <c r="FY266" s="178"/>
      <c r="FZ266" s="178"/>
      <c r="GA266" s="178"/>
      <c r="GB266" s="178"/>
      <c r="GC266" s="178"/>
      <c r="GD266" s="178"/>
      <c r="GE266" s="178"/>
      <c r="GF266" s="178"/>
      <c r="GG266" s="178"/>
      <c r="GH266" s="178"/>
      <c r="GI266" s="178"/>
      <c r="GJ266" s="178"/>
      <c r="GK266" s="178"/>
      <c r="GL266" s="178"/>
      <c r="GM266" s="178"/>
      <c r="GN266" s="178"/>
      <c r="GO266" s="178"/>
      <c r="GP266" s="178"/>
      <c r="GQ266" s="178"/>
      <c r="GR266" s="178"/>
      <c r="GS266" s="178"/>
      <c r="GT266" s="178"/>
      <c r="GU266" s="178"/>
      <c r="GV266" s="178"/>
      <c r="GW266" s="178"/>
      <c r="GX266" s="178"/>
      <c r="GY266" s="178"/>
      <c r="GZ266" s="178"/>
      <c r="HA266" s="178"/>
      <c r="HB266" s="178"/>
      <c r="HC266" s="178"/>
      <c r="HD266" s="178"/>
      <c r="HE266" s="178"/>
      <c r="HF266" s="178"/>
      <c r="HG266" s="178"/>
      <c r="HH266" s="178"/>
      <c r="HI266" s="178"/>
      <c r="HJ266" s="178"/>
      <c r="HK266" s="178"/>
      <c r="HL266" s="178"/>
      <c r="HM266" s="178"/>
      <c r="HN266" s="178"/>
      <c r="HO266" s="178"/>
      <c r="HP266" s="178"/>
      <c r="HQ266" s="178"/>
      <c r="HR266" s="178"/>
      <c r="HS266" s="178"/>
      <c r="HT266" s="178"/>
      <c r="HU266" s="178"/>
      <c r="HV266" s="178"/>
      <c r="HW266" s="178"/>
      <c r="HX266" s="178"/>
      <c r="HY266" s="178"/>
      <c r="HZ266" s="178"/>
      <c r="IA266" s="178"/>
      <c r="IB266" s="178"/>
      <c r="IC266" s="178"/>
      <c r="ID266" s="178"/>
      <c r="IE266" s="178"/>
      <c r="IF266" s="178"/>
      <c r="IG266" s="178"/>
      <c r="IH266" s="178"/>
      <c r="II266" s="178"/>
      <c r="IJ266" s="178"/>
      <c r="IK266" s="178"/>
      <c r="IL266" s="178"/>
      <c r="IM266" s="178"/>
      <c r="IN266" s="515" t="s">
        <v>3615</v>
      </c>
      <c r="IO266" s="178"/>
      <c r="IP266" s="178"/>
      <c r="IQ266" s="178"/>
      <c r="IR266" s="178"/>
      <c r="IS266" s="178"/>
      <c r="IT266" s="178"/>
      <c r="IU266" s="178"/>
      <c r="IV266" s="178"/>
      <c r="IW266" s="178"/>
      <c r="IX266" s="178"/>
      <c r="IY266" s="178"/>
      <c r="IZ266" s="178"/>
      <c r="JA266" s="178"/>
      <c r="JB266" s="178"/>
      <c r="JC266" s="178"/>
      <c r="JD266" s="135"/>
    </row>
    <row r="267" spans="9:264">
      <c r="I267" s="22"/>
      <c r="J267" s="156" t="s">
        <v>858</v>
      </c>
      <c r="K267" s="156" t="s">
        <v>858</v>
      </c>
      <c r="L267" s="22">
        <v>0</v>
      </c>
      <c r="M267" s="22">
        <v>19</v>
      </c>
      <c r="N267" s="22">
        <v>25.7</v>
      </c>
      <c r="O267" s="22">
        <v>-8</v>
      </c>
      <c r="P267" s="22">
        <v>-49</v>
      </c>
      <c r="Q267" s="22">
        <v>-26</v>
      </c>
      <c r="R267" s="22" t="s">
        <v>859</v>
      </c>
      <c r="S267" s="22" t="s">
        <v>860</v>
      </c>
      <c r="AS267" s="3"/>
      <c r="BD267" s="97"/>
      <c r="DC267" s="182"/>
      <c r="DE267" s="1" t="s">
        <v>2951</v>
      </c>
      <c r="DF267" s="404">
        <f>IF(DF258&lt;20,DF258,0)</f>
        <v>0</v>
      </c>
      <c r="DG267" s="1" t="s">
        <v>2931</v>
      </c>
      <c r="DH267" s="405">
        <f t="shared" si="14"/>
        <v>0</v>
      </c>
      <c r="DI267" s="1" t="s">
        <v>2952</v>
      </c>
      <c r="DJ267" s="170">
        <f>IF(DH267&gt;0,10,0)</f>
        <v>0</v>
      </c>
      <c r="DK267" s="182"/>
      <c r="EL267" s="3"/>
      <c r="EM267" s="3"/>
      <c r="FK267" s="135"/>
      <c r="FL267" s="516" t="s">
        <v>3616</v>
      </c>
      <c r="FM267" s="405"/>
      <c r="FN267" s="405"/>
      <c r="FO267" s="405"/>
      <c r="FP267" s="405"/>
      <c r="FQ267" s="405"/>
      <c r="FR267" s="405"/>
      <c r="FS267" s="405"/>
      <c r="FT267" s="405"/>
      <c r="FU267" s="405"/>
      <c r="FV267" s="405"/>
      <c r="FW267" s="405"/>
      <c r="FX267" s="405"/>
      <c r="FY267" s="405"/>
      <c r="FZ267" s="405"/>
      <c r="GA267" s="405"/>
      <c r="GB267" s="405"/>
      <c r="GC267" s="405"/>
      <c r="GD267" s="405"/>
      <c r="GE267" s="405"/>
      <c r="GF267" s="405"/>
      <c r="GG267" s="405"/>
      <c r="GH267" s="405"/>
      <c r="GI267" s="405"/>
      <c r="GJ267" s="405"/>
      <c r="GK267" s="405"/>
      <c r="GL267" s="405"/>
      <c r="GM267" s="405"/>
      <c r="GN267" s="405"/>
      <c r="GO267" s="405"/>
      <c r="GP267" s="405"/>
      <c r="GQ267" s="405"/>
      <c r="GR267" s="405"/>
      <c r="GS267" s="405"/>
      <c r="GT267" s="405"/>
      <c r="GU267" s="405"/>
      <c r="GV267" s="405"/>
      <c r="GW267" s="405"/>
      <c r="GX267" s="405"/>
      <c r="GY267" s="405"/>
      <c r="GZ267" s="405"/>
      <c r="HA267" s="405"/>
      <c r="HB267" s="405"/>
      <c r="HC267" s="405"/>
      <c r="HD267" s="405"/>
      <c r="HE267" s="405"/>
      <c r="HF267" s="405"/>
      <c r="HG267" s="405"/>
      <c r="HH267" s="405"/>
      <c r="HI267" s="405"/>
      <c r="HJ267" s="405"/>
      <c r="HK267" s="405"/>
      <c r="HL267" s="405"/>
      <c r="HM267" s="405"/>
      <c r="HN267" s="405"/>
      <c r="HO267" s="405"/>
      <c r="HP267" s="405"/>
      <c r="HQ267" s="405"/>
      <c r="HR267" s="405"/>
      <c r="HS267" s="405"/>
      <c r="HT267" s="405"/>
      <c r="HU267" s="405"/>
      <c r="HV267" s="405"/>
      <c r="HW267" s="405"/>
      <c r="HX267" s="405"/>
      <c r="HY267" s="405"/>
      <c r="HZ267" s="405"/>
      <c r="IA267" s="405"/>
      <c r="IB267" s="405"/>
      <c r="IC267" s="516" t="s">
        <v>4017</v>
      </c>
      <c r="ID267" s="405"/>
      <c r="IE267" s="405"/>
      <c r="IF267" s="405"/>
      <c r="IG267" s="405"/>
      <c r="IH267" s="405"/>
      <c r="II267" s="405"/>
      <c r="IJ267" s="405"/>
      <c r="IK267" s="405"/>
      <c r="IL267" s="405"/>
      <c r="IM267" s="405"/>
      <c r="IN267" s="178"/>
      <c r="IO267" s="128"/>
      <c r="IP267" s="168" t="s">
        <v>2984</v>
      </c>
      <c r="IQ267" s="1"/>
      <c r="IR267" s="1"/>
      <c r="IS267" s="1"/>
      <c r="IT267" s="1"/>
      <c r="IU267" s="1"/>
      <c r="IV267" s="1"/>
      <c r="IW267" s="1"/>
      <c r="IX267" s="1"/>
      <c r="IY267" s="1"/>
      <c r="IZ267" s="1"/>
      <c r="JA267" s="1"/>
      <c r="JB267" s="1"/>
      <c r="JC267" s="178"/>
      <c r="JD267" s="135"/>
    </row>
    <row r="268" spans="9:264">
      <c r="I268" s="22"/>
      <c r="J268" s="156" t="s">
        <v>861</v>
      </c>
      <c r="K268" s="156" t="s">
        <v>861</v>
      </c>
      <c r="L268" s="22">
        <v>2</v>
      </c>
      <c r="M268" s="22">
        <v>19</v>
      </c>
      <c r="N268" s="22">
        <v>20.8</v>
      </c>
      <c r="O268" s="22">
        <v>-2</v>
      </c>
      <c r="P268" s="22">
        <v>-58</v>
      </c>
      <c r="Q268" s="22">
        <v>-39</v>
      </c>
      <c r="R268" s="22" t="s">
        <v>862</v>
      </c>
      <c r="S268" s="22" t="s">
        <v>863</v>
      </c>
      <c r="V268" s="5"/>
      <c r="W268" s="5"/>
      <c r="X268" s="283" t="s">
        <v>3101</v>
      </c>
      <c r="Y268" s="5"/>
      <c r="Z268" s="342"/>
      <c r="AA268" s="5"/>
      <c r="AB268" s="5"/>
      <c r="AC268" s="5"/>
      <c r="AD268" s="5"/>
      <c r="AE268" s="5"/>
      <c r="AF268" s="5"/>
      <c r="AG268" s="5"/>
      <c r="AI268" s="5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BD268" s="97"/>
      <c r="DC268" s="182"/>
      <c r="DE268" s="1" t="s">
        <v>2953</v>
      </c>
      <c r="DF268" s="404">
        <f>IF(DF258&lt;10,DF258,0)</f>
        <v>0</v>
      </c>
      <c r="DG268" s="1" t="s">
        <v>2932</v>
      </c>
      <c r="DH268" s="405">
        <f>DH259+DH260+DH261+DH262+DH263+DH264+DH265+DH266+DH267</f>
        <v>0</v>
      </c>
      <c r="DI268" s="1" t="s">
        <v>2932</v>
      </c>
      <c r="DJ268" s="170">
        <f>DJ259+DJ260+DJ261+DJ262+DJ263+DJ264+DJ265+DJ266+DJ267</f>
        <v>0</v>
      </c>
      <c r="DK268" s="182"/>
      <c r="EL268" s="3"/>
      <c r="EM268" s="3"/>
      <c r="FK268" s="135"/>
      <c r="FL268" s="517" t="s">
        <v>3617</v>
      </c>
      <c r="FM268" s="170"/>
      <c r="FN268" s="170"/>
      <c r="FO268" s="170"/>
      <c r="FP268" s="170"/>
      <c r="FQ268" s="170"/>
      <c r="FR268" s="170"/>
      <c r="FS268" s="170"/>
      <c r="FT268" s="170"/>
      <c r="FU268" s="170"/>
      <c r="FV268" s="170"/>
      <c r="FW268" s="170"/>
      <c r="FX268" s="170"/>
      <c r="FY268" s="170"/>
      <c r="FZ268" s="170"/>
      <c r="GA268" s="170"/>
      <c r="GB268" s="170"/>
      <c r="GC268" s="170"/>
      <c r="GD268" s="170"/>
      <c r="GE268" s="170"/>
      <c r="GF268" s="170"/>
      <c r="GG268" s="170"/>
      <c r="GH268" s="170"/>
      <c r="GI268" s="170"/>
      <c r="GJ268" s="170"/>
      <c r="GK268" s="170"/>
      <c r="GL268" s="170"/>
      <c r="GM268" s="170"/>
      <c r="GN268" s="170"/>
      <c r="GO268" s="170"/>
      <c r="GP268" s="170"/>
      <c r="GQ268" s="170"/>
      <c r="GR268" s="170"/>
      <c r="GS268" s="170"/>
      <c r="GT268" s="170"/>
      <c r="GU268" s="170"/>
      <c r="GV268" s="170"/>
      <c r="GW268" s="170"/>
      <c r="GX268" s="170"/>
      <c r="GY268" s="170"/>
      <c r="GZ268" s="170"/>
      <c r="HA268" s="170"/>
      <c r="HB268" s="170"/>
      <c r="HC268" s="170"/>
      <c r="HD268" s="170"/>
      <c r="HE268" s="170"/>
      <c r="HF268" s="170"/>
      <c r="HG268" s="170"/>
      <c r="HH268" s="170"/>
      <c r="HI268" s="170"/>
      <c r="HJ268" s="170"/>
      <c r="HK268" s="517" t="s">
        <v>4016</v>
      </c>
      <c r="HL268" s="170"/>
      <c r="HM268" s="170"/>
      <c r="HN268" s="170"/>
      <c r="HO268" s="170"/>
      <c r="HP268" s="170"/>
      <c r="HQ268" s="170"/>
      <c r="HR268" s="170"/>
      <c r="HS268" s="170"/>
      <c r="HT268" s="170"/>
      <c r="HU268" s="170"/>
      <c r="HV268" s="170"/>
      <c r="HW268" s="170"/>
      <c r="HX268" s="170"/>
      <c r="HY268" s="170"/>
      <c r="HZ268" s="170"/>
      <c r="IA268" s="170"/>
      <c r="IB268" s="170"/>
      <c r="IC268" s="405"/>
      <c r="ID268" s="312" t="s">
        <v>3618</v>
      </c>
      <c r="IE268" s="312" t="s">
        <v>3619</v>
      </c>
      <c r="IF268" s="69" t="s">
        <v>3242</v>
      </c>
      <c r="IG268" s="69" t="s">
        <v>3620</v>
      </c>
      <c r="IH268" s="65" t="s">
        <v>4024</v>
      </c>
      <c r="II268" s="1"/>
      <c r="IJ268" s="1"/>
      <c r="IK268" s="1"/>
      <c r="IL268" s="1"/>
      <c r="IM268" s="405"/>
      <c r="IN268" s="178"/>
      <c r="IO268" s="419">
        <f>HL450</f>
        <v>0</v>
      </c>
      <c r="IP268" s="419" t="s">
        <v>3621</v>
      </c>
      <c r="IQ268" s="1"/>
      <c r="IR268" s="1"/>
      <c r="IS268" s="1"/>
      <c r="IT268" s="1"/>
      <c r="IU268" s="1"/>
      <c r="IV268" s="1"/>
      <c r="IW268" s="1"/>
      <c r="IX268" s="1"/>
      <c r="IY268" s="1"/>
      <c r="IZ268" s="1"/>
      <c r="JA268" s="1"/>
      <c r="JB268" s="1"/>
      <c r="JC268" s="178"/>
      <c r="JD268" s="135"/>
    </row>
    <row r="269" spans="9:264">
      <c r="I269" s="22"/>
      <c r="J269" s="156" t="s">
        <v>864</v>
      </c>
      <c r="K269" s="156" t="s">
        <v>864</v>
      </c>
      <c r="L269" s="22">
        <v>2</v>
      </c>
      <c r="M269" s="22">
        <v>44</v>
      </c>
      <c r="N269" s="22">
        <v>7.3</v>
      </c>
      <c r="O269" s="22">
        <v>-13</v>
      </c>
      <c r="P269" s="22">
        <v>-51</v>
      </c>
      <c r="Q269" s="22">
        <v>-31</v>
      </c>
      <c r="R269" s="22" t="s">
        <v>865</v>
      </c>
      <c r="S269" s="22" t="s">
        <v>866</v>
      </c>
      <c r="AS269" s="3"/>
      <c r="BD269" s="97"/>
      <c r="DC269" s="182"/>
      <c r="DG269" s="1" t="s">
        <v>2934</v>
      </c>
      <c r="DH269" s="406">
        <f>DH268-DJ268</f>
        <v>0</v>
      </c>
      <c r="DK269" s="182"/>
      <c r="EL269" s="3"/>
      <c r="EM269" s="3"/>
      <c r="FK269" s="135"/>
      <c r="FL269" s="267"/>
      <c r="FM269" s="175"/>
      <c r="FN269" s="175"/>
      <c r="FO269" s="175"/>
      <c r="FP269" s="175"/>
      <c r="FQ269" s="175"/>
      <c r="FR269" s="175"/>
      <c r="FS269" s="175"/>
      <c r="FT269" s="175"/>
      <c r="FU269" s="175"/>
      <c r="FV269" s="175"/>
      <c r="FW269" s="175"/>
      <c r="FX269" s="175"/>
      <c r="FY269" s="175"/>
      <c r="FZ269" s="175"/>
      <c r="GA269" s="175"/>
      <c r="GB269" s="175"/>
      <c r="GC269" s="175"/>
      <c r="GD269" s="175"/>
      <c r="GE269" s="175"/>
      <c r="GF269" s="175"/>
      <c r="GG269" s="175"/>
      <c r="GH269" s="175"/>
      <c r="GI269" s="175"/>
      <c r="GJ269" s="175"/>
      <c r="GK269" s="175"/>
      <c r="GL269" s="175"/>
      <c r="GM269" s="175"/>
      <c r="GN269" s="175"/>
      <c r="GO269" s="175"/>
      <c r="GP269" s="175"/>
      <c r="GQ269" s="175"/>
      <c r="GR269" s="175"/>
      <c r="GS269" s="175"/>
      <c r="GT269" s="175"/>
      <c r="GU269" s="175"/>
      <c r="GV269" s="175"/>
      <c r="GW269" s="175"/>
      <c r="GX269" s="175"/>
      <c r="GY269" s="175"/>
      <c r="GZ269" s="175"/>
      <c r="HA269" s="175"/>
      <c r="HB269" s="175"/>
      <c r="HC269" s="175"/>
      <c r="HD269" s="175"/>
      <c r="HE269" s="175"/>
      <c r="HF269" s="175"/>
      <c r="HG269" s="175"/>
      <c r="HH269" s="175"/>
      <c r="HI269" s="175"/>
      <c r="HJ269" s="175"/>
      <c r="HK269" s="170"/>
      <c r="HV269" s="518">
        <f>HN446</f>
        <v>0</v>
      </c>
      <c r="IB269" s="170"/>
      <c r="IC269" s="405"/>
      <c r="ID269" s="519"/>
      <c r="IE269" s="520"/>
      <c r="IF269" s="69"/>
      <c r="IG269" s="69"/>
      <c r="IH269" s="69"/>
      <c r="II269" s="1"/>
      <c r="IJ269" s="1"/>
      <c r="IK269" s="1"/>
      <c r="IL269" s="1"/>
      <c r="IM269" s="405"/>
      <c r="IN269" s="178"/>
      <c r="IO269" s="521">
        <f>IK292</f>
        <v>0</v>
      </c>
      <c r="IP269" s="522" t="s">
        <v>3627</v>
      </c>
      <c r="IQ269" s="1" t="s">
        <v>4026</v>
      </c>
      <c r="IR269" s="1"/>
      <c r="IS269" s="1"/>
      <c r="IT269" s="1"/>
      <c r="IU269" s="1"/>
      <c r="IV269" s="1"/>
      <c r="IW269" s="1"/>
      <c r="IX269" s="1"/>
      <c r="IY269" s="1"/>
      <c r="IZ269" s="1"/>
      <c r="JA269" s="1"/>
      <c r="JB269" s="1"/>
      <c r="JC269" s="178"/>
      <c r="JD269" s="135"/>
    </row>
    <row r="270" spans="9:264">
      <c r="I270" s="22"/>
      <c r="J270" s="156" t="s">
        <v>867</v>
      </c>
      <c r="K270" s="156" t="s">
        <v>867</v>
      </c>
      <c r="L270" s="22">
        <v>1</v>
      </c>
      <c r="M270" s="22">
        <v>44</v>
      </c>
      <c r="N270" s="22">
        <v>4.0999999999999996</v>
      </c>
      <c r="O270" s="22">
        <v>-15</v>
      </c>
      <c r="P270" s="22">
        <v>-56</v>
      </c>
      <c r="Q270" s="22">
        <v>-15</v>
      </c>
      <c r="R270" s="22" t="s">
        <v>868</v>
      </c>
      <c r="S270" s="22" t="s">
        <v>869</v>
      </c>
      <c r="AS270" s="3"/>
      <c r="BD270" s="97"/>
      <c r="DC270" s="182"/>
      <c r="DD270" s="175"/>
      <c r="DE270" s="175" t="s">
        <v>3000</v>
      </c>
      <c r="DF270" s="65">
        <f>DF295</f>
        <v>0</v>
      </c>
      <c r="DH270" s="175"/>
      <c r="DK270" s="182"/>
      <c r="EL270" s="3"/>
      <c r="EM270" s="3"/>
      <c r="FK270" s="135"/>
      <c r="HK270" s="170"/>
      <c r="HM270" s="1" t="s">
        <v>2854</v>
      </c>
      <c r="HN270" s="65">
        <f>HL448</f>
        <v>0</v>
      </c>
      <c r="HT270" s="128"/>
      <c r="HU270" s="525"/>
      <c r="HV270" s="526"/>
      <c r="IB270" s="170"/>
      <c r="IC270" s="405"/>
      <c r="ID270" s="527" t="s">
        <v>3634</v>
      </c>
      <c r="IE270" s="528" t="s">
        <v>3634</v>
      </c>
      <c r="IF270" s="37"/>
      <c r="IG270" s="37"/>
      <c r="IH270" s="37"/>
      <c r="II270" s="1"/>
      <c r="IJ270" s="1"/>
      <c r="IK270" s="1"/>
      <c r="IL270" s="1"/>
      <c r="IM270" s="405"/>
      <c r="IN270" s="178"/>
      <c r="IO270" s="608" t="e">
        <f>IU377</f>
        <v>#N/A</v>
      </c>
      <c r="IP270" s="522"/>
      <c r="IR270" s="1" t="s">
        <v>4036</v>
      </c>
      <c r="IS270" s="1"/>
      <c r="IT270" s="1"/>
      <c r="IU270" s="1"/>
      <c r="IV270" s="1"/>
      <c r="IW270" s="1"/>
      <c r="IX270" s="1"/>
      <c r="IY270" s="1"/>
      <c r="IZ270" s="1"/>
      <c r="JA270" s="1"/>
      <c r="JB270" s="1"/>
      <c r="JC270" s="178"/>
      <c r="JD270" s="135"/>
    </row>
    <row r="271" spans="9:264">
      <c r="I271" s="22"/>
      <c r="J271" s="156" t="s">
        <v>870</v>
      </c>
      <c r="K271" s="156" t="s">
        <v>870</v>
      </c>
      <c r="L271" s="22">
        <v>2</v>
      </c>
      <c r="M271" s="22">
        <v>0</v>
      </c>
      <c r="N271" s="22">
        <v>0.3</v>
      </c>
      <c r="O271" s="22">
        <v>-21</v>
      </c>
      <c r="P271" s="22">
        <v>-4</v>
      </c>
      <c r="Q271" s="22">
        <v>-40</v>
      </c>
      <c r="R271" s="22" t="s">
        <v>871</v>
      </c>
      <c r="S271" s="22" t="s">
        <v>872</v>
      </c>
      <c r="AS271" s="3"/>
      <c r="BD271" s="97"/>
      <c r="DC271" s="182"/>
      <c r="DE271" s="402" t="s">
        <v>3001</v>
      </c>
      <c r="DF271" s="195">
        <f>IF(DF270&lt;10,DF270,DH269)</f>
        <v>0</v>
      </c>
      <c r="DG271" s="403" t="s">
        <v>3002</v>
      </c>
      <c r="DH271" s="402"/>
      <c r="DI271" s="402"/>
      <c r="DJ271" s="402"/>
      <c r="DK271" s="182"/>
      <c r="EL271" s="3"/>
      <c r="EM271" s="3"/>
      <c r="FK271" s="135"/>
      <c r="HK271" s="170"/>
      <c r="HM271" s="533" t="s">
        <v>3638</v>
      </c>
      <c r="HN271" s="533" t="b">
        <f>ISNUMBER(HN270)</f>
        <v>1</v>
      </c>
      <c r="HO271" s="1" t="b">
        <v>0</v>
      </c>
      <c r="HT271" s="128"/>
      <c r="HU271" s="534">
        <v>0</v>
      </c>
      <c r="HV271" s="535" t="s">
        <v>3639</v>
      </c>
      <c r="HX271" s="1" t="s">
        <v>3640</v>
      </c>
      <c r="HY271" s="106" t="str">
        <f ca="1">LOOKUP(HV269,(HU270:HU304),(HV270:HV292))</f>
        <v>Δεν υπάρχει</v>
      </c>
      <c r="HZ271" s="1" t="b">
        <v>0</v>
      </c>
      <c r="IB271" s="170"/>
      <c r="IC271" s="405"/>
      <c r="ID271" s="527" t="s">
        <v>203</v>
      </c>
      <c r="IE271" s="528" t="s">
        <v>203</v>
      </c>
      <c r="IF271" s="37" t="s">
        <v>3641</v>
      </c>
      <c r="IG271" s="37"/>
      <c r="IH271" s="37"/>
      <c r="II271" s="1"/>
      <c r="IJ271" s="1"/>
      <c r="IK271" s="1"/>
      <c r="IL271" s="1"/>
      <c r="IM271" s="405"/>
      <c r="IN271" s="178"/>
      <c r="IO271" s="610" t="e">
        <f>IF(IO269=IR270,IR270,IU377)</f>
        <v>#N/A</v>
      </c>
      <c r="IP271" s="534" t="s">
        <v>4045</v>
      </c>
      <c r="IQ271" s="1"/>
      <c r="IR271" s="1"/>
      <c r="IS271" s="1"/>
      <c r="IT271" s="1"/>
      <c r="IU271" s="1"/>
      <c r="IV271" s="1"/>
      <c r="IW271" s="1"/>
      <c r="IX271" s="1"/>
      <c r="IY271" s="1"/>
      <c r="IZ271" s="1"/>
      <c r="JA271" s="1"/>
      <c r="JB271" s="1"/>
      <c r="JC271" s="178"/>
      <c r="JD271" s="135"/>
    </row>
    <row r="272" spans="9:264">
      <c r="I272" s="24" t="s">
        <v>873</v>
      </c>
      <c r="J272" s="157" t="s">
        <v>874</v>
      </c>
      <c r="K272" s="157" t="s">
        <v>874</v>
      </c>
      <c r="L272" s="24" t="s">
        <v>39</v>
      </c>
      <c r="M272" s="24" t="s">
        <v>873</v>
      </c>
      <c r="N272" s="24" t="s">
        <v>873</v>
      </c>
      <c r="O272" s="24" t="s">
        <v>40</v>
      </c>
      <c r="P272" s="24" t="s">
        <v>875</v>
      </c>
      <c r="Q272" s="24" t="s">
        <v>876</v>
      </c>
      <c r="R272" s="24" t="s">
        <v>877</v>
      </c>
      <c r="S272" s="24" t="s">
        <v>875</v>
      </c>
      <c r="AS272" s="3"/>
      <c r="BD272" s="97"/>
      <c r="DC272" s="182"/>
      <c r="DE272" s="1" t="s">
        <v>2953</v>
      </c>
      <c r="DF272" s="404">
        <f>IF(DF271&lt;10,DF271,0)</f>
        <v>0</v>
      </c>
      <c r="DG272" s="1" t="s">
        <v>2931</v>
      </c>
      <c r="DH272" s="1">
        <f t="shared" ref="DH272:DH280" si="15">IF(DF273=0,DF272,0)</f>
        <v>0</v>
      </c>
      <c r="DI272" s="1" t="s">
        <v>2954</v>
      </c>
      <c r="DJ272" s="170">
        <f>IF(DH272&gt;0,9,0)</f>
        <v>0</v>
      </c>
      <c r="DK272" s="182"/>
      <c r="EL272" s="3"/>
      <c r="EM272" s="3"/>
      <c r="FK272" s="135"/>
      <c r="HK272" s="538"/>
      <c r="HT272" s="128"/>
      <c r="HU272" s="534">
        <v>1</v>
      </c>
      <c r="HV272" s="534" t="s">
        <v>3248</v>
      </c>
      <c r="HX272" s="1" t="s">
        <v>3645</v>
      </c>
      <c r="HY272" s="166">
        <f>IF(HN271=HZ271,HY271,HL448)</f>
        <v>0</v>
      </c>
      <c r="IB272" s="170"/>
      <c r="IC272" s="405"/>
      <c r="ID272" s="527" t="s">
        <v>3646</v>
      </c>
      <c r="IE272" s="528" t="s">
        <v>3646</v>
      </c>
      <c r="IF272" s="37" t="s">
        <v>3647</v>
      </c>
      <c r="IG272" s="37"/>
      <c r="IH272" s="37"/>
      <c r="II272" s="1"/>
      <c r="IJ272" s="1" t="s">
        <v>3648</v>
      </c>
      <c r="IK272" s="65">
        <f>IK294</f>
        <v>0</v>
      </c>
      <c r="IL272" s="1"/>
      <c r="IM272" s="405"/>
      <c r="IN272" s="178"/>
      <c r="IO272" s="608" t="str">
        <f>IF(IQ366=0,"ωωωω",IO271)</f>
        <v>ωωωω</v>
      </c>
      <c r="IP272" s="522" t="s">
        <v>4056</v>
      </c>
      <c r="IS272" s="1"/>
      <c r="IT272" s="1"/>
      <c r="IU272" s="1"/>
      <c r="IV272" s="1"/>
      <c r="IW272" s="1"/>
      <c r="IX272" s="1"/>
      <c r="IY272" s="1"/>
      <c r="IZ272" s="1"/>
      <c r="JA272" s="1"/>
      <c r="JB272" s="1"/>
      <c r="JC272" s="178"/>
      <c r="JD272" s="135"/>
    </row>
    <row r="273" spans="9:264">
      <c r="I273" s="22"/>
      <c r="J273" s="156" t="s">
        <v>878</v>
      </c>
      <c r="K273" s="156" t="s">
        <v>878</v>
      </c>
      <c r="L273" s="22">
        <v>21</v>
      </c>
      <c r="M273" s="22">
        <v>18</v>
      </c>
      <c r="N273" s="22">
        <v>34.799999999999997</v>
      </c>
      <c r="O273" s="22">
        <v>62</v>
      </c>
      <c r="P273" s="22">
        <v>35</v>
      </c>
      <c r="Q273" s="22">
        <v>8</v>
      </c>
      <c r="R273" s="22" t="s">
        <v>879</v>
      </c>
      <c r="S273" s="22" t="s">
        <v>880</v>
      </c>
      <c r="AS273" s="3"/>
      <c r="BD273" s="97"/>
      <c r="DC273" s="182"/>
      <c r="DD273" s="1" t="s">
        <v>3273</v>
      </c>
      <c r="DE273" s="1" t="s">
        <v>2955</v>
      </c>
      <c r="DF273" s="404">
        <f>IF(DF271&lt;9,DF271,0)</f>
        <v>0</v>
      </c>
      <c r="DG273" s="1" t="s">
        <v>2931</v>
      </c>
      <c r="DH273" s="1">
        <f t="shared" si="15"/>
        <v>0</v>
      </c>
      <c r="DI273" s="1" t="s">
        <v>2956</v>
      </c>
      <c r="DJ273" s="170">
        <f>IF(DH273&gt;0,8,0)</f>
        <v>0</v>
      </c>
      <c r="DK273" s="182"/>
      <c r="EL273" s="3"/>
      <c r="EM273" s="3"/>
      <c r="FK273" s="135"/>
      <c r="HK273" s="170"/>
      <c r="HM273" s="191">
        <v>1</v>
      </c>
      <c r="HN273" s="1" t="s">
        <v>3651</v>
      </c>
      <c r="HT273" s="128"/>
      <c r="HU273" s="534">
        <v>2</v>
      </c>
      <c r="HV273" s="534" t="s">
        <v>3652</v>
      </c>
      <c r="IB273" s="170"/>
      <c r="IC273" s="405"/>
      <c r="ID273" s="527" t="s">
        <v>42</v>
      </c>
      <c r="IE273" s="528" t="s">
        <v>42</v>
      </c>
      <c r="IF273" s="37" t="s">
        <v>3653</v>
      </c>
      <c r="IG273" s="37"/>
      <c r="IH273" s="37"/>
      <c r="II273" s="1"/>
      <c r="IJ273" s="533" t="s">
        <v>2818</v>
      </c>
      <c r="IK273" s="533" t="b">
        <f>ISNUMBER(IK272)</f>
        <v>1</v>
      </c>
      <c r="IL273" s="533" t="b">
        <v>0</v>
      </c>
      <c r="IM273" s="405"/>
      <c r="IN273" s="600"/>
      <c r="IO273" s="610">
        <f>IF(IO268=0,0,1)</f>
        <v>0</v>
      </c>
      <c r="IP273" s="611" t="s">
        <v>4057</v>
      </c>
      <c r="JC273" s="600"/>
      <c r="JD273" s="135"/>
    </row>
    <row r="274" spans="9:264">
      <c r="I274" s="22"/>
      <c r="J274" s="156" t="s">
        <v>881</v>
      </c>
      <c r="K274" s="156" t="s">
        <v>881</v>
      </c>
      <c r="L274" s="22">
        <v>21</v>
      </c>
      <c r="M274" s="22">
        <v>28</v>
      </c>
      <c r="N274" s="22">
        <v>39.6</v>
      </c>
      <c r="O274" s="22">
        <v>70</v>
      </c>
      <c r="P274" s="22">
        <v>33</v>
      </c>
      <c r="Q274" s="22">
        <v>39</v>
      </c>
      <c r="R274" s="22" t="s">
        <v>882</v>
      </c>
      <c r="S274" s="22" t="s">
        <v>883</v>
      </c>
      <c r="AS274" s="3"/>
      <c r="BD274" s="97"/>
      <c r="DC274" s="182"/>
      <c r="DE274" s="1" t="s">
        <v>2957</v>
      </c>
      <c r="DF274" s="404">
        <f>IF(DF271&lt;8,DF271,0)</f>
        <v>0</v>
      </c>
      <c r="DG274" s="1" t="s">
        <v>2931</v>
      </c>
      <c r="DH274" s="1">
        <f t="shared" si="15"/>
        <v>0</v>
      </c>
      <c r="DI274" s="1" t="s">
        <v>2958</v>
      </c>
      <c r="DJ274" s="170">
        <f>IF(DH274&gt;0,7,0)</f>
        <v>0</v>
      </c>
      <c r="DK274" s="182"/>
      <c r="EL274" s="3"/>
      <c r="EM274" s="3"/>
      <c r="FK274" s="135"/>
      <c r="HK274" s="170"/>
      <c r="HM274" s="1" t="s">
        <v>3655</v>
      </c>
      <c r="HN274" s="65">
        <f>HL448</f>
        <v>0</v>
      </c>
      <c r="HT274" s="128"/>
      <c r="HU274" s="534">
        <v>3</v>
      </c>
      <c r="HV274" s="534" t="s">
        <v>3605</v>
      </c>
      <c r="IB274" s="170"/>
      <c r="IC274" s="405"/>
      <c r="ID274" s="527" t="s">
        <v>2608</v>
      </c>
      <c r="IE274" s="528" t="s">
        <v>2608</v>
      </c>
      <c r="IF274" s="37" t="s">
        <v>3656</v>
      </c>
      <c r="IG274" s="37"/>
      <c r="IH274" s="37"/>
      <c r="II274" s="1"/>
      <c r="IJ274" s="1" t="s">
        <v>3657</v>
      </c>
      <c r="IK274" s="1" t="str">
        <f>IF(IK273=IL273,IK272,"ZZZ")</f>
        <v>ZZZ</v>
      </c>
      <c r="IL274" s="1"/>
      <c r="IM274" s="405"/>
      <c r="IN274" s="600"/>
      <c r="IO274" s="610">
        <f>IF(IO269=0,0,1)</f>
        <v>0</v>
      </c>
      <c r="IP274" s="611" t="s">
        <v>4058</v>
      </c>
      <c r="JC274" s="600"/>
      <c r="JD274" s="135"/>
    </row>
    <row r="275" spans="9:264">
      <c r="I275" s="22"/>
      <c r="J275" s="156" t="s">
        <v>884</v>
      </c>
      <c r="K275" s="156" t="s">
        <v>884</v>
      </c>
      <c r="L275" s="22">
        <v>23</v>
      </c>
      <c r="M275" s="22">
        <v>39</v>
      </c>
      <c r="N275" s="22">
        <v>20.9</v>
      </c>
      <c r="O275" s="22">
        <v>77</v>
      </c>
      <c r="P275" s="22">
        <v>37</v>
      </c>
      <c r="Q275" s="22">
        <v>57</v>
      </c>
      <c r="R275" s="22" t="s">
        <v>885</v>
      </c>
      <c r="S275" s="22" t="s">
        <v>886</v>
      </c>
      <c r="AS275" s="3"/>
      <c r="BD275" s="97"/>
      <c r="DC275" s="182"/>
      <c r="DE275" s="1" t="s">
        <v>2959</v>
      </c>
      <c r="DF275" s="404">
        <f>IF(DF271&lt;7,DF271,0)</f>
        <v>0</v>
      </c>
      <c r="DG275" s="1" t="s">
        <v>2931</v>
      </c>
      <c r="DH275" s="1">
        <f t="shared" si="15"/>
        <v>0</v>
      </c>
      <c r="DI275" s="1" t="s">
        <v>2960</v>
      </c>
      <c r="DJ275" s="170">
        <f>IF(DH275&gt;0,6,0)</f>
        <v>0</v>
      </c>
      <c r="DK275" s="182"/>
      <c r="EL275" s="3"/>
      <c r="EM275" s="3"/>
      <c r="FK275" s="135"/>
      <c r="HK275" s="170"/>
      <c r="HM275" s="1" t="s">
        <v>3248</v>
      </c>
      <c r="HN275" s="1">
        <f>IF(HN274=HM275,1,0)</f>
        <v>0</v>
      </c>
      <c r="HT275" s="128"/>
      <c r="HU275" s="534">
        <v>4</v>
      </c>
      <c r="HV275" s="534" t="s">
        <v>3660</v>
      </c>
      <c r="IB275" s="170"/>
      <c r="IC275" s="405"/>
      <c r="ID275" s="527" t="s">
        <v>332</v>
      </c>
      <c r="IE275" s="528" t="s">
        <v>332</v>
      </c>
      <c r="IF275" s="37" t="s">
        <v>3661</v>
      </c>
      <c r="IG275" s="37"/>
      <c r="IH275" s="37"/>
      <c r="II275" s="1"/>
      <c r="IJ275" s="1"/>
      <c r="IK275" s="541" t="str">
        <f>IK274</f>
        <v>ZZZ</v>
      </c>
      <c r="IL275" s="1"/>
      <c r="IM275" s="405"/>
      <c r="IN275" s="600"/>
      <c r="IO275" s="610">
        <f>IO273+IO274</f>
        <v>0</v>
      </c>
      <c r="IP275" s="611" t="s">
        <v>3688</v>
      </c>
      <c r="JC275" s="600"/>
      <c r="JD275" s="135"/>
    </row>
    <row r="276" spans="9:264">
      <c r="I276" s="22"/>
      <c r="J276" s="156" t="s">
        <v>887</v>
      </c>
      <c r="K276" s="156" t="s">
        <v>887</v>
      </c>
      <c r="L276" s="22">
        <v>22</v>
      </c>
      <c r="M276" s="22">
        <v>29</v>
      </c>
      <c r="N276" s="22">
        <v>10.3</v>
      </c>
      <c r="O276" s="22">
        <v>58</v>
      </c>
      <c r="P276" s="22">
        <v>24</v>
      </c>
      <c r="Q276" s="22">
        <v>55</v>
      </c>
      <c r="R276" s="22" t="s">
        <v>888</v>
      </c>
      <c r="S276" s="22" t="s">
        <v>889</v>
      </c>
      <c r="AS276" s="3"/>
      <c r="BD276" s="97"/>
      <c r="DC276" s="182"/>
      <c r="DE276" s="1" t="s">
        <v>2961</v>
      </c>
      <c r="DF276" s="404">
        <f>IF(DF271&lt;6,DF271,0)</f>
        <v>0</v>
      </c>
      <c r="DG276" s="1" t="s">
        <v>2931</v>
      </c>
      <c r="DH276" s="1">
        <f t="shared" si="15"/>
        <v>0</v>
      </c>
      <c r="DI276" s="1" t="s">
        <v>2962</v>
      </c>
      <c r="DJ276" s="170">
        <f>IF(DH276&gt;0,5,0)</f>
        <v>0</v>
      </c>
      <c r="DK276" s="182"/>
      <c r="EL276" s="3"/>
      <c r="EM276" s="3"/>
      <c r="FK276" s="135"/>
      <c r="HK276" s="170"/>
      <c r="HM276" s="1" t="s">
        <v>3587</v>
      </c>
      <c r="HN276" s="1">
        <f>IF(HN274=HM276,1,0)</f>
        <v>0</v>
      </c>
      <c r="HT276" s="128"/>
      <c r="HU276" s="534">
        <v>5</v>
      </c>
      <c r="HV276" s="534" t="s">
        <v>3663</v>
      </c>
      <c r="IB276" s="170"/>
      <c r="IC276" s="405"/>
      <c r="ID276" s="527" t="s">
        <v>1000</v>
      </c>
      <c r="IE276" s="528" t="s">
        <v>1000</v>
      </c>
      <c r="IF276" s="37" t="s">
        <v>3664</v>
      </c>
      <c r="IG276" s="37"/>
      <c r="IH276" s="37"/>
      <c r="II276" s="1"/>
      <c r="IJ276" s="1" t="s">
        <v>3665</v>
      </c>
      <c r="IK276" s="48" t="str">
        <f>LOOKUP(IK275,(ID269:ID344),(IE269:IE344))</f>
        <v>ZZZ</v>
      </c>
      <c r="IL276" s="1"/>
      <c r="IM276" s="405"/>
      <c r="IN276" s="600"/>
      <c r="IO276" s="610" t="str">
        <f>IF(IO275=0,"",IO272)</f>
        <v/>
      </c>
      <c r="IP276" s="611" t="s">
        <v>4059</v>
      </c>
      <c r="JC276" s="600"/>
      <c r="JD276" s="135"/>
    </row>
    <row r="277" spans="9:264">
      <c r="I277" s="22"/>
      <c r="J277" s="156" t="s">
        <v>890</v>
      </c>
      <c r="K277" s="156" t="s">
        <v>890</v>
      </c>
      <c r="L277" s="22">
        <v>22</v>
      </c>
      <c r="M277" s="22">
        <v>15</v>
      </c>
      <c r="N277" s="22">
        <v>2</v>
      </c>
      <c r="O277" s="22">
        <v>57</v>
      </c>
      <c r="P277" s="22">
        <v>2</v>
      </c>
      <c r="Q277" s="22">
        <v>37</v>
      </c>
      <c r="R277" s="22" t="s">
        <v>891</v>
      </c>
      <c r="S277" s="22" t="s">
        <v>892</v>
      </c>
      <c r="AS277" s="3"/>
      <c r="BD277" s="97"/>
      <c r="DC277" s="182"/>
      <c r="DE277" s="1" t="s">
        <v>2963</v>
      </c>
      <c r="DF277" s="404">
        <f>IF(DF271&lt;5,DF271,0)</f>
        <v>0</v>
      </c>
      <c r="DG277" s="1" t="s">
        <v>2931</v>
      </c>
      <c r="DH277" s="1">
        <f t="shared" si="15"/>
        <v>0</v>
      </c>
      <c r="DI277" s="1" t="s">
        <v>2964</v>
      </c>
      <c r="DJ277" s="170">
        <f>IF(DH277&gt;0,4,0)</f>
        <v>0</v>
      </c>
      <c r="DK277" s="182"/>
      <c r="EL277" s="3"/>
      <c r="EM277" s="3"/>
      <c r="FK277" s="135"/>
      <c r="HK277" s="170"/>
      <c r="HM277" s="1" t="s">
        <v>3670</v>
      </c>
      <c r="HN277" s="1">
        <f>IF(HN274=HM277,1,0)</f>
        <v>0</v>
      </c>
      <c r="HT277" s="128"/>
      <c r="HU277" s="534">
        <v>6</v>
      </c>
      <c r="HV277" s="534" t="s">
        <v>3671</v>
      </c>
      <c r="IB277" s="170"/>
      <c r="IC277" s="405"/>
      <c r="ID277" s="527" t="s">
        <v>523</v>
      </c>
      <c r="IE277" s="528" t="s">
        <v>523</v>
      </c>
      <c r="IF277" s="37" t="s">
        <v>3672</v>
      </c>
      <c r="IG277" s="37"/>
      <c r="IH277" s="37"/>
      <c r="II277" s="1"/>
      <c r="IJ277" s="175" t="s">
        <v>3673</v>
      </c>
      <c r="IK277" s="406" t="str">
        <f>IF(IK276="ZZZZ",IK276,IK275)</f>
        <v>ZZZ</v>
      </c>
      <c r="IL277" s="175"/>
      <c r="IM277" s="405"/>
      <c r="IN277" s="600"/>
      <c r="IO277" s="529" t="str">
        <f>IO276</f>
        <v/>
      </c>
      <c r="IP277" s="536" t="s">
        <v>3635</v>
      </c>
      <c r="IQ277" s="1"/>
      <c r="IR277" s="1"/>
      <c r="JC277" s="600"/>
      <c r="JD277" s="135"/>
    </row>
    <row r="278" spans="9:264">
      <c r="I278" s="22"/>
      <c r="J278" s="156" t="s">
        <v>893</v>
      </c>
      <c r="K278" s="156" t="s">
        <v>893</v>
      </c>
      <c r="L278" s="22">
        <v>22</v>
      </c>
      <c r="M278" s="22">
        <v>10</v>
      </c>
      <c r="N278" s="22">
        <v>51.3</v>
      </c>
      <c r="O278" s="22">
        <v>58</v>
      </c>
      <c r="P278" s="22">
        <v>12</v>
      </c>
      <c r="Q278" s="22">
        <v>4</v>
      </c>
      <c r="R278" s="22" t="s">
        <v>894</v>
      </c>
      <c r="S278" s="22" t="s">
        <v>895</v>
      </c>
      <c r="AS278" s="3"/>
      <c r="BD278" s="97"/>
      <c r="DC278" s="182"/>
      <c r="DE278" s="1" t="s">
        <v>2965</v>
      </c>
      <c r="DF278" s="404">
        <f>IF(DF271&lt;4,DF271,0)</f>
        <v>0</v>
      </c>
      <c r="DG278" s="1" t="s">
        <v>2931</v>
      </c>
      <c r="DH278" s="1">
        <f t="shared" si="15"/>
        <v>0</v>
      </c>
      <c r="DI278" s="1" t="s">
        <v>2966</v>
      </c>
      <c r="DJ278" s="170">
        <f>IF(DH278&gt;0,3,0)</f>
        <v>0</v>
      </c>
      <c r="DK278" s="182"/>
      <c r="EL278" s="3"/>
      <c r="EM278" s="3"/>
      <c r="FK278" s="135"/>
      <c r="HK278" s="170"/>
      <c r="HM278" s="1" t="s">
        <v>3676</v>
      </c>
      <c r="HN278" s="1">
        <f>IF(HN274=HM278,1,0)</f>
        <v>0</v>
      </c>
      <c r="HT278" s="128"/>
      <c r="HU278" s="534">
        <v>7</v>
      </c>
      <c r="HV278" s="534" t="s">
        <v>3677</v>
      </c>
      <c r="IB278" s="170"/>
      <c r="IC278" s="405"/>
      <c r="ID278" s="527" t="s">
        <v>289</v>
      </c>
      <c r="IE278" s="528" t="s">
        <v>289</v>
      </c>
      <c r="IF278" s="37" t="s">
        <v>3678</v>
      </c>
      <c r="IG278" s="37"/>
      <c r="IH278" s="37"/>
      <c r="II278" s="1"/>
      <c r="IJ278" s="1" t="s">
        <v>3679</v>
      </c>
      <c r="IK278" s="118" t="str">
        <f>IF(IK276=IK277,IK276,"ZZ")</f>
        <v>ZZZ</v>
      </c>
      <c r="IL278" s="175"/>
      <c r="IM278" s="405"/>
      <c r="IN278" s="600"/>
      <c r="IQ278" s="601"/>
      <c r="JC278" s="600"/>
      <c r="JD278" s="135"/>
    </row>
    <row r="279" spans="9:264">
      <c r="I279" s="22"/>
      <c r="J279" s="156" t="s">
        <v>896</v>
      </c>
      <c r="K279" s="156" t="s">
        <v>896</v>
      </c>
      <c r="L279" s="22">
        <v>20</v>
      </c>
      <c r="M279" s="22">
        <v>45</v>
      </c>
      <c r="N279" s="22">
        <v>17.399999999999999</v>
      </c>
      <c r="O279" s="22">
        <v>61</v>
      </c>
      <c r="P279" s="22">
        <v>50</v>
      </c>
      <c r="Q279" s="22">
        <v>20</v>
      </c>
      <c r="R279" s="22" t="s">
        <v>897</v>
      </c>
      <c r="S279" s="22" t="s">
        <v>898</v>
      </c>
      <c r="AS279" s="3"/>
      <c r="BD279" s="97"/>
      <c r="DC279" s="182"/>
      <c r="DE279" s="1" t="s">
        <v>2967</v>
      </c>
      <c r="DF279" s="404">
        <f>IF(DF271&lt;3,DF271,0)</f>
        <v>0</v>
      </c>
      <c r="DG279" s="1" t="s">
        <v>2931</v>
      </c>
      <c r="DH279" s="1">
        <f t="shared" si="15"/>
        <v>0</v>
      </c>
      <c r="DI279" s="1" t="s">
        <v>2968</v>
      </c>
      <c r="DJ279" s="170">
        <f>IF(DH279&gt;0,2,0)</f>
        <v>0</v>
      </c>
      <c r="DK279" s="182"/>
      <c r="EL279" s="3"/>
      <c r="EM279" s="3"/>
      <c r="FK279" s="135"/>
      <c r="HK279" s="170"/>
      <c r="HM279" s="1" t="s">
        <v>3681</v>
      </c>
      <c r="HN279" s="1">
        <f>IF(HN274=HM279,1,0)</f>
        <v>0</v>
      </c>
      <c r="HT279" s="128"/>
      <c r="HU279" s="534">
        <v>8</v>
      </c>
      <c r="HV279" s="534" t="s">
        <v>3682</v>
      </c>
      <c r="IB279" s="170"/>
      <c r="IC279" s="405"/>
      <c r="ID279" s="527" t="s">
        <v>749</v>
      </c>
      <c r="IE279" s="528" t="s">
        <v>749</v>
      </c>
      <c r="IF279" s="37" t="s">
        <v>3683</v>
      </c>
      <c r="IG279" s="37"/>
      <c r="IH279" s="37"/>
      <c r="II279" s="1"/>
      <c r="IJ279" s="1" t="s">
        <v>3684</v>
      </c>
      <c r="IK279" s="1"/>
      <c r="IL279" s="175"/>
      <c r="IM279" s="405"/>
      <c r="IN279" s="600"/>
      <c r="JC279" s="600"/>
      <c r="JD279" s="135"/>
    </row>
    <row r="280" spans="9:264">
      <c r="I280" s="22"/>
      <c r="J280" s="156" t="s">
        <v>899</v>
      </c>
      <c r="K280" s="156" t="s">
        <v>899</v>
      </c>
      <c r="L280" s="22">
        <v>20</v>
      </c>
      <c r="M280" s="22">
        <v>29</v>
      </c>
      <c r="N280" s="22">
        <v>34.9</v>
      </c>
      <c r="O280" s="22">
        <v>62</v>
      </c>
      <c r="P280" s="22">
        <v>59</v>
      </c>
      <c r="Q280" s="22">
        <v>39</v>
      </c>
      <c r="R280" s="22" t="s">
        <v>900</v>
      </c>
      <c r="S280" s="22" t="s">
        <v>901</v>
      </c>
      <c r="AS280" s="3"/>
      <c r="BD280" s="97"/>
      <c r="DC280" s="182"/>
      <c r="DE280" s="1" t="s">
        <v>2969</v>
      </c>
      <c r="DF280" s="404">
        <f>IF(DF271&lt;2,DF271,0)</f>
        <v>0</v>
      </c>
      <c r="DG280" s="1" t="s">
        <v>2931</v>
      </c>
      <c r="DH280" s="1">
        <f t="shared" si="15"/>
        <v>0</v>
      </c>
      <c r="DI280" s="1" t="s">
        <v>2970</v>
      </c>
      <c r="DJ280" s="170">
        <f>IF(DH280&gt;0,1,0)</f>
        <v>0</v>
      </c>
      <c r="DK280" s="182"/>
      <c r="EL280" s="3"/>
      <c r="EM280" s="3"/>
      <c r="FK280" s="135"/>
      <c r="HK280" s="170"/>
      <c r="HM280" s="1" t="s">
        <v>3688</v>
      </c>
      <c r="HN280" s="170">
        <f>HN275+HN276+HN277+HN278+HN279</f>
        <v>0</v>
      </c>
      <c r="HT280" s="128"/>
      <c r="HU280" s="534">
        <v>9</v>
      </c>
      <c r="HV280" s="534" t="s">
        <v>3689</v>
      </c>
      <c r="IB280" s="170"/>
      <c r="IC280" s="405"/>
      <c r="ID280" s="527" t="s">
        <v>72</v>
      </c>
      <c r="IE280" s="528" t="s">
        <v>72</v>
      </c>
      <c r="IF280" s="37" t="s">
        <v>3690</v>
      </c>
      <c r="IG280" s="37"/>
      <c r="IH280" s="37"/>
      <c r="II280" s="1"/>
      <c r="IJ280" s="1" t="s">
        <v>3691</v>
      </c>
      <c r="IK280" s="1">
        <f>LOOKUP(IK278,(ID269:ID344),(IF269:IF344))</f>
        <v>0</v>
      </c>
      <c r="IL280" s="175"/>
      <c r="IM280" s="405"/>
      <c r="IN280" s="178"/>
      <c r="IO280" s="1"/>
      <c r="IR280" s="1"/>
      <c r="IS280" s="1"/>
      <c r="IT280" s="1"/>
      <c r="IU280" s="1"/>
      <c r="IV280" s="1"/>
      <c r="IW280" s="1"/>
      <c r="IX280" s="1"/>
      <c r="IY280" s="1"/>
      <c r="IZ280" s="1"/>
      <c r="JA280" s="1"/>
      <c r="JB280" s="1"/>
      <c r="JC280" s="178"/>
      <c r="JD280" s="135"/>
    </row>
    <row r="281" spans="9:264">
      <c r="I281" s="22"/>
      <c r="J281" s="156" t="s">
        <v>902</v>
      </c>
      <c r="K281" s="156" t="s">
        <v>902</v>
      </c>
      <c r="L281" s="22">
        <v>22</v>
      </c>
      <c r="M281" s="22">
        <v>49</v>
      </c>
      <c r="N281" s="22">
        <v>40.799999999999997</v>
      </c>
      <c r="O281" s="22">
        <v>66</v>
      </c>
      <c r="P281" s="22">
        <v>12</v>
      </c>
      <c r="Q281" s="22">
        <v>1</v>
      </c>
      <c r="R281" s="22" t="s">
        <v>903</v>
      </c>
      <c r="S281" s="22" t="s">
        <v>904</v>
      </c>
      <c r="AS281" s="3"/>
      <c r="BD281" s="97"/>
      <c r="DC281" s="182"/>
      <c r="DE281" s="1" t="s">
        <v>2971</v>
      </c>
      <c r="DF281" s="404">
        <f>IF(DF271&lt;1,DF271,0)</f>
        <v>0</v>
      </c>
      <c r="DG281" s="1" t="s">
        <v>2972</v>
      </c>
      <c r="DH281" s="406">
        <f>DF271-DJ281</f>
        <v>0</v>
      </c>
      <c r="DI281" s="1" t="s">
        <v>2973</v>
      </c>
      <c r="DJ281" s="406">
        <f>DJ272+DJ273+DJ274+DJ275+DJ276+DJ277+DJ278+DJ279+DJ280</f>
        <v>0</v>
      </c>
      <c r="DK281" s="182"/>
      <c r="EL281" s="3"/>
      <c r="EM281" s="3"/>
      <c r="FK281" s="135"/>
      <c r="HK281" s="170"/>
      <c r="HM281" s="191">
        <v>2</v>
      </c>
      <c r="HT281" s="128"/>
      <c r="HU281" s="534">
        <v>10</v>
      </c>
      <c r="HV281" s="534" t="s">
        <v>3694</v>
      </c>
      <c r="IB281" s="170"/>
      <c r="IC281" s="405"/>
      <c r="ID281" s="527" t="s">
        <v>2603</v>
      </c>
      <c r="IE281" s="528" t="s">
        <v>2603</v>
      </c>
      <c r="IF281" s="37" t="s">
        <v>3695</v>
      </c>
      <c r="IG281" s="37"/>
      <c r="IH281" s="37"/>
      <c r="II281" s="1"/>
      <c r="IJ281" s="1" t="s">
        <v>3696</v>
      </c>
      <c r="IK281" s="544" t="str">
        <f>IF(IK280=0,"",IK280)</f>
        <v/>
      </c>
      <c r="IL281" s="175"/>
      <c r="IM281" s="405"/>
      <c r="IN281" s="178"/>
      <c r="IO281" s="1"/>
      <c r="IP281" s="540" t="s">
        <v>3654</v>
      </c>
      <c r="IQ281" s="65">
        <f>IO268</f>
        <v>0</v>
      </c>
      <c r="IR281" s="1"/>
      <c r="IS281" s="1"/>
      <c r="IT281" s="1"/>
      <c r="IU281" s="1"/>
      <c r="IV281" s="1"/>
      <c r="IW281" s="1"/>
      <c r="IX281" s="1"/>
      <c r="IY281" s="1"/>
      <c r="IZ281" s="1"/>
      <c r="JA281" s="1"/>
      <c r="JB281" s="1"/>
      <c r="JC281" s="178"/>
      <c r="JD281" s="135"/>
    </row>
    <row r="282" spans="9:264">
      <c r="I282" s="22"/>
      <c r="J282" s="156" t="s">
        <v>905</v>
      </c>
      <c r="K282" s="156" t="s">
        <v>905</v>
      </c>
      <c r="L282" s="22">
        <v>21</v>
      </c>
      <c r="M282" s="22">
        <v>43</v>
      </c>
      <c r="N282" s="22">
        <v>30.4</v>
      </c>
      <c r="O282" s="22">
        <v>58</v>
      </c>
      <c r="P282" s="22">
        <v>46</v>
      </c>
      <c r="Q282" s="22">
        <v>48</v>
      </c>
      <c r="R282" s="22" t="s">
        <v>906</v>
      </c>
      <c r="S282" s="22" t="s">
        <v>907</v>
      </c>
      <c r="AS282" s="3"/>
      <c r="BD282" s="97"/>
      <c r="DC282" s="182"/>
      <c r="DK282" s="182"/>
      <c r="EL282" s="3"/>
      <c r="EM282" s="3"/>
      <c r="FK282" s="135"/>
      <c r="HK282" s="170"/>
      <c r="HM282" s="1" t="s">
        <v>3699</v>
      </c>
      <c r="HT282" s="128"/>
      <c r="HU282" s="534">
        <v>11</v>
      </c>
      <c r="HV282" s="534" t="s">
        <v>3700</v>
      </c>
      <c r="IB282" s="170"/>
      <c r="IC282" s="405"/>
      <c r="ID282" s="527" t="s">
        <v>3701</v>
      </c>
      <c r="IE282" s="528" t="s">
        <v>3701</v>
      </c>
      <c r="IF282" s="37" t="s">
        <v>3702</v>
      </c>
      <c r="IG282" s="37"/>
      <c r="IH282" s="37"/>
      <c r="II282" s="1"/>
      <c r="IJ282" s="1" t="s">
        <v>3703</v>
      </c>
      <c r="IK282" s="1" t="str">
        <f>LOOKUP(IK278,(ID269:ID344),(IG269:IG344))</f>
        <v>Πληκτρολογήθηκαν αριθμοί</v>
      </c>
      <c r="IL282" s="175"/>
      <c r="IM282" s="405"/>
      <c r="IN282" s="178"/>
      <c r="IO282" s="1"/>
      <c r="IP282" s="540" t="s">
        <v>3658</v>
      </c>
      <c r="IQ282" s="65">
        <f>IO269</f>
        <v>0</v>
      </c>
      <c r="IR282" s="1"/>
      <c r="IS282" s="1"/>
      <c r="IT282" s="1"/>
      <c r="IU282" s="1"/>
      <c r="IV282" s="1"/>
      <c r="IW282" s="1"/>
      <c r="IX282" s="1"/>
      <c r="IY282" s="1"/>
      <c r="IZ282" s="1"/>
      <c r="JA282" s="1"/>
      <c r="JB282" s="1"/>
      <c r="JC282" s="178"/>
      <c r="JD282" s="135"/>
    </row>
    <row r="283" spans="9:264">
      <c r="I283" s="22"/>
      <c r="J283" s="156" t="s">
        <v>908</v>
      </c>
      <c r="K283" s="156" t="s">
        <v>908</v>
      </c>
      <c r="L283" s="22">
        <v>22</v>
      </c>
      <c r="M283" s="22">
        <v>3</v>
      </c>
      <c r="N283" s="22">
        <v>47.4</v>
      </c>
      <c r="O283" s="22">
        <v>64</v>
      </c>
      <c r="P283" s="22">
        <v>37</v>
      </c>
      <c r="Q283" s="22">
        <v>40</v>
      </c>
      <c r="R283" s="22" t="s">
        <v>909</v>
      </c>
      <c r="S283" s="22" t="s">
        <v>910</v>
      </c>
      <c r="AS283" s="3"/>
      <c r="BD283" s="97"/>
      <c r="DC283" s="182"/>
      <c r="DE283" s="196" t="s">
        <v>2974</v>
      </c>
      <c r="DF283" s="197"/>
      <c r="DG283" s="108" t="s">
        <v>2975</v>
      </c>
      <c r="DI283" s="108" t="s">
        <v>2976</v>
      </c>
      <c r="DK283" s="182"/>
      <c r="EL283" s="3"/>
      <c r="EM283" s="3"/>
      <c r="FK283" s="135"/>
      <c r="HK283" s="170"/>
      <c r="HM283" s="1" t="s">
        <v>3652</v>
      </c>
      <c r="HN283" s="1">
        <f>IF(HN274=HM283,2,0)</f>
        <v>0</v>
      </c>
      <c r="HT283" s="128"/>
      <c r="HU283" s="534">
        <v>12</v>
      </c>
      <c r="HV283" s="534" t="s">
        <v>3705</v>
      </c>
      <c r="IB283" s="170"/>
      <c r="IC283" s="405"/>
      <c r="ID283" s="527" t="s">
        <v>824</v>
      </c>
      <c r="IE283" s="528" t="s">
        <v>824</v>
      </c>
      <c r="IF283" s="37" t="s">
        <v>3706</v>
      </c>
      <c r="IG283" s="37"/>
      <c r="IH283" s="37"/>
      <c r="II283" s="1"/>
      <c r="IJ283" s="1" t="s">
        <v>3707</v>
      </c>
      <c r="IK283" s="109" t="str">
        <f>IF(IK282=0,"",IK282)</f>
        <v>Πληκτρολογήθηκαν αριθμοί</v>
      </c>
      <c r="IL283" s="1"/>
      <c r="IM283" s="405"/>
      <c r="IN283" s="178"/>
      <c r="IO283" s="1"/>
      <c r="IP283" s="423" t="s">
        <v>3666</v>
      </c>
      <c r="IQ283" s="423" t="b">
        <f>ISNUMBER(IQ282)</f>
        <v>1</v>
      </c>
      <c r="IR283" s="423" t="b">
        <v>0</v>
      </c>
      <c r="IS283" s="1"/>
      <c r="IT283" s="1"/>
      <c r="IU283" s="1"/>
      <c r="IV283" s="1"/>
      <c r="IW283" s="1"/>
      <c r="IX283" s="1"/>
      <c r="IY283" s="1"/>
      <c r="IZ283" s="1"/>
      <c r="JA283" s="1"/>
      <c r="JB283" s="1"/>
      <c r="JC283" s="178"/>
      <c r="JD283" s="135"/>
    </row>
    <row r="284" spans="9:264">
      <c r="I284" s="24" t="s">
        <v>911</v>
      </c>
      <c r="J284" s="157" t="s">
        <v>912</v>
      </c>
      <c r="K284" s="157" t="s">
        <v>912</v>
      </c>
      <c r="L284" s="24" t="s">
        <v>39</v>
      </c>
      <c r="M284" s="24" t="s">
        <v>913</v>
      </c>
      <c r="N284" s="24" t="s">
        <v>914</v>
      </c>
      <c r="O284" s="24" t="s">
        <v>40</v>
      </c>
      <c r="P284" s="24" t="s">
        <v>915</v>
      </c>
      <c r="Q284" s="24" t="s">
        <v>916</v>
      </c>
      <c r="R284" s="24" t="s">
        <v>917</v>
      </c>
      <c r="S284" s="27" t="s">
        <v>915</v>
      </c>
      <c r="AS284" s="3"/>
      <c r="BD284" s="97"/>
      <c r="DC284" s="182"/>
      <c r="DE284" s="6" t="s">
        <v>2977</v>
      </c>
      <c r="DF284" s="6"/>
      <c r="DG284" s="108" t="s">
        <v>2981</v>
      </c>
      <c r="DI284" s="1" t="s">
        <v>3274</v>
      </c>
      <c r="DJ284" s="406">
        <f>60*DH293</f>
        <v>0</v>
      </c>
      <c r="DK284" s="182"/>
      <c r="EL284" s="3"/>
      <c r="EM284" s="3"/>
      <c r="FK284" s="135"/>
      <c r="HK284" s="170"/>
      <c r="HM284" s="1" t="s">
        <v>3709</v>
      </c>
      <c r="HN284" s="1">
        <f>IF(HN274=HM284,2,0)</f>
        <v>0</v>
      </c>
      <c r="HT284" s="128"/>
      <c r="HU284" s="534">
        <v>13</v>
      </c>
      <c r="HV284" s="534" t="s">
        <v>3710</v>
      </c>
      <c r="IB284" s="170"/>
      <c r="IC284" s="405"/>
      <c r="ID284" s="527" t="s">
        <v>876</v>
      </c>
      <c r="IE284" s="528" t="s">
        <v>876</v>
      </c>
      <c r="IF284" s="37" t="s">
        <v>3711</v>
      </c>
      <c r="IG284" s="37"/>
      <c r="IH284" s="37"/>
      <c r="II284" s="1"/>
      <c r="IJ284" s="1" t="s">
        <v>4025</v>
      </c>
      <c r="IK284" s="599">
        <f>LOOKUP(IK278,(ID269:ID344),(IH269:IH344))</f>
        <v>0</v>
      </c>
      <c r="IM284" s="405"/>
      <c r="IN284" s="178"/>
      <c r="IO284" s="1"/>
      <c r="IP284" s="533" t="s">
        <v>3674</v>
      </c>
      <c r="IQ284" s="533">
        <f>IF(IQ283=IR283,1,2)</f>
        <v>2</v>
      </c>
      <c r="IR284" s="1"/>
      <c r="IS284" s="1"/>
      <c r="IT284" s="1"/>
      <c r="IU284" s="1"/>
      <c r="IV284" s="1"/>
      <c r="IW284" s="1"/>
      <c r="IX284" s="1"/>
      <c r="IY284" s="1"/>
      <c r="IZ284" s="1"/>
      <c r="JA284" s="1"/>
      <c r="JB284" s="1"/>
      <c r="JC284" s="178"/>
      <c r="JD284" s="135"/>
    </row>
    <row r="285" spans="9:264">
      <c r="I285" s="22"/>
      <c r="J285" s="156" t="s">
        <v>918</v>
      </c>
      <c r="K285" s="156" t="s">
        <v>918</v>
      </c>
      <c r="L285" s="22">
        <v>6</v>
      </c>
      <c r="M285" s="22">
        <v>45</v>
      </c>
      <c r="N285" s="22">
        <v>8.9</v>
      </c>
      <c r="O285" s="22">
        <v>-16</v>
      </c>
      <c r="P285" s="22">
        <v>-42</v>
      </c>
      <c r="Q285" s="22">
        <v>-58</v>
      </c>
      <c r="R285" s="22" t="s">
        <v>919</v>
      </c>
      <c r="S285" s="23" t="s">
        <v>920</v>
      </c>
      <c r="AS285" s="3"/>
      <c r="BD285" s="97"/>
      <c r="DC285" s="182"/>
      <c r="DE285" s="6" t="s">
        <v>2978</v>
      </c>
      <c r="DF285" s="128"/>
      <c r="DG285" s="1" t="s">
        <v>3006</v>
      </c>
      <c r="DH285" s="1">
        <f>DF295-DH281</f>
        <v>0</v>
      </c>
      <c r="DI285" s="1" t="s">
        <v>2979</v>
      </c>
      <c r="DK285" s="182"/>
      <c r="EL285" s="3"/>
      <c r="EM285" s="3"/>
      <c r="FK285" s="135"/>
      <c r="HK285" s="170"/>
      <c r="HM285" s="1" t="s">
        <v>3714</v>
      </c>
      <c r="HN285" s="1">
        <f>IF(HN274=HM285,2,0)</f>
        <v>0</v>
      </c>
      <c r="HT285" s="128"/>
      <c r="HU285" s="534">
        <v>14</v>
      </c>
      <c r="HV285" s="534" t="s">
        <v>3715</v>
      </c>
      <c r="IB285" s="170"/>
      <c r="IC285" s="405"/>
      <c r="ID285" s="527" t="s">
        <v>835</v>
      </c>
      <c r="IE285" s="528" t="s">
        <v>835</v>
      </c>
      <c r="IF285" s="37" t="s">
        <v>3716</v>
      </c>
      <c r="IG285" s="37"/>
      <c r="IH285" s="37"/>
      <c r="II285" s="1"/>
      <c r="IJ285" s="1"/>
      <c r="IK285" s="1" t="s">
        <v>3242</v>
      </c>
      <c r="IL285" s="1" t="s">
        <v>3717</v>
      </c>
      <c r="IM285" s="405"/>
      <c r="IN285" s="178"/>
      <c r="IO285" s="1"/>
      <c r="IP285" s="1" t="s">
        <v>4023</v>
      </c>
      <c r="IQ285" s="57" t="str">
        <f>IF(IQ284=1,IQ282,"")</f>
        <v/>
      </c>
      <c r="IR285" s="1"/>
      <c r="IS285" s="1"/>
      <c r="IT285" s="1"/>
      <c r="IU285" s="1"/>
      <c r="IV285" s="1"/>
      <c r="IW285" s="1"/>
      <c r="IX285" s="1"/>
      <c r="IY285" s="1"/>
      <c r="IZ285" s="1"/>
      <c r="JA285" s="1"/>
      <c r="JB285" s="1"/>
      <c r="JC285" s="178"/>
      <c r="JD285" s="135"/>
    </row>
    <row r="286" spans="9:264">
      <c r="I286" s="22"/>
      <c r="J286" s="156" t="s">
        <v>921</v>
      </c>
      <c r="K286" s="156" t="s">
        <v>921</v>
      </c>
      <c r="L286" s="22">
        <v>6</v>
      </c>
      <c r="M286" s="22">
        <v>22</v>
      </c>
      <c r="N286" s="22">
        <v>42</v>
      </c>
      <c r="O286" s="22">
        <v>-17</v>
      </c>
      <c r="P286" s="22">
        <v>-57</v>
      </c>
      <c r="Q286" s="22">
        <v>-21</v>
      </c>
      <c r="R286" s="22" t="s">
        <v>922</v>
      </c>
      <c r="S286" s="23" t="s">
        <v>923</v>
      </c>
      <c r="AS286" s="3"/>
      <c r="BD286" s="97"/>
      <c r="DC286" s="182"/>
      <c r="DE286" s="168" t="s">
        <v>2980</v>
      </c>
      <c r="DF286" s="65">
        <f>DD324</f>
        <v>0</v>
      </c>
      <c r="DG286" s="1" t="s">
        <v>2986</v>
      </c>
      <c r="DH286" s="1">
        <f>IF(DF290=1,DH285,0)</f>
        <v>0</v>
      </c>
      <c r="DI286" s="1" t="s">
        <v>2982</v>
      </c>
      <c r="DK286" s="182"/>
      <c r="EL286" s="3"/>
      <c r="EM286" s="3"/>
      <c r="FK286" s="135"/>
      <c r="HK286" s="170"/>
      <c r="HM286" s="1" t="s">
        <v>3688</v>
      </c>
      <c r="HN286" s="170">
        <f>HN283+HN284+HN285</f>
        <v>0</v>
      </c>
      <c r="HT286" s="128"/>
      <c r="HU286" s="534">
        <v>15</v>
      </c>
      <c r="HV286" s="534" t="s">
        <v>3718</v>
      </c>
      <c r="IB286" s="170"/>
      <c r="IC286" s="405"/>
      <c r="ID286" s="527" t="s">
        <v>3708</v>
      </c>
      <c r="IE286" s="528" t="s">
        <v>3708</v>
      </c>
      <c r="IF286" s="37" t="s">
        <v>3719</v>
      </c>
      <c r="IG286" s="37"/>
      <c r="IH286" s="37"/>
      <c r="II286" s="1"/>
      <c r="IJ286" s="1" t="s">
        <v>3720</v>
      </c>
      <c r="IK286" s="190" t="str">
        <f>IK281</f>
        <v/>
      </c>
      <c r="IL286" s="109" t="str">
        <f>IK283</f>
        <v>Πληκτρολογήθηκαν αριθμοί</v>
      </c>
      <c r="IM286" s="405"/>
      <c r="IN286" s="178"/>
      <c r="IO286" s="1"/>
      <c r="IP286" s="1" t="s">
        <v>3685</v>
      </c>
      <c r="IQ286" s="57" t="str">
        <f>IF(IQ284=1,IQ281,"")</f>
        <v/>
      </c>
      <c r="IR286" s="1"/>
      <c r="IS286" s="1"/>
      <c r="IT286" s="1"/>
      <c r="IU286" s="1"/>
      <c r="IV286" s="1"/>
      <c r="IW286" s="1"/>
      <c r="IX286" s="1"/>
      <c r="IY286" s="1"/>
      <c r="IZ286" s="1"/>
      <c r="JA286" s="1"/>
      <c r="JB286" s="1"/>
      <c r="JC286" s="178"/>
      <c r="JD286" s="135"/>
    </row>
    <row r="287" spans="9:264">
      <c r="I287" s="22"/>
      <c r="J287" s="156" t="s">
        <v>924</v>
      </c>
      <c r="K287" s="156" t="s">
        <v>924</v>
      </c>
      <c r="L287" s="22">
        <v>7</v>
      </c>
      <c r="M287" s="22">
        <v>8</v>
      </c>
      <c r="N287" s="22">
        <v>23.5</v>
      </c>
      <c r="O287" s="22">
        <v>-26</v>
      </c>
      <c r="P287" s="22">
        <v>-23</v>
      </c>
      <c r="Q287" s="22">
        <v>-36</v>
      </c>
      <c r="R287" s="22" t="s">
        <v>925</v>
      </c>
      <c r="S287" s="23" t="s">
        <v>926</v>
      </c>
      <c r="AS287" s="3"/>
      <c r="BD287" s="97"/>
      <c r="DC287" s="182"/>
      <c r="DE287" s="128" t="s">
        <v>2983</v>
      </c>
      <c r="DF287" s="128" t="b">
        <f>ISNUMBER(DF286)</f>
        <v>1</v>
      </c>
      <c r="DG287" s="1" t="s">
        <v>2988</v>
      </c>
      <c r="DH287" s="1">
        <f>-1*DH286</f>
        <v>0</v>
      </c>
      <c r="DK287" s="182"/>
      <c r="EL287" s="3"/>
      <c r="EM287" s="3"/>
      <c r="FK287" s="135"/>
      <c r="HK287" s="170"/>
      <c r="HM287" s="191">
        <v>3</v>
      </c>
      <c r="HT287" s="128"/>
      <c r="HU287" s="534">
        <v>16</v>
      </c>
      <c r="HV287" s="534" t="s">
        <v>3722</v>
      </c>
      <c r="IB287" s="170"/>
      <c r="IC287" s="405"/>
      <c r="ID287" s="527" t="s">
        <v>3713</v>
      </c>
      <c r="IE287" s="528" t="s">
        <v>3713</v>
      </c>
      <c r="IF287" s="37" t="s">
        <v>3723</v>
      </c>
      <c r="IG287" s="37"/>
      <c r="IH287" s="37"/>
      <c r="II287" s="1"/>
      <c r="IJ287" s="1" t="s">
        <v>3724</v>
      </c>
      <c r="IK287" s="65">
        <f>IK272</f>
        <v>0</v>
      </c>
      <c r="IL287" s="1"/>
      <c r="IM287" s="405"/>
      <c r="IN287" s="178"/>
      <c r="IO287" s="1"/>
      <c r="IP287" s="1"/>
      <c r="IQ287" s="1" t="s">
        <v>3242</v>
      </c>
      <c r="IR287" s="1" t="s">
        <v>3692</v>
      </c>
      <c r="IS287" s="1" t="s">
        <v>3693</v>
      </c>
      <c r="IT287" s="1"/>
      <c r="IU287" s="1"/>
      <c r="IV287" s="1"/>
      <c r="IW287" s="1"/>
      <c r="IX287" s="1"/>
      <c r="IY287" s="1"/>
      <c r="IZ287" s="1"/>
      <c r="JA287" s="1"/>
      <c r="JB287" s="1"/>
      <c r="JC287" s="178"/>
      <c r="JD287" s="135"/>
    </row>
    <row r="288" spans="9:264">
      <c r="I288" s="22"/>
      <c r="J288" s="156" t="s">
        <v>927</v>
      </c>
      <c r="K288" s="156" t="s">
        <v>927</v>
      </c>
      <c r="L288" s="22">
        <v>6</v>
      </c>
      <c r="M288" s="22">
        <v>58</v>
      </c>
      <c r="N288" s="22">
        <v>37.6</v>
      </c>
      <c r="O288" s="22">
        <v>-28</v>
      </c>
      <c r="P288" s="22">
        <v>-58</v>
      </c>
      <c r="Q288" s="22">
        <v>-20</v>
      </c>
      <c r="R288" s="22" t="s">
        <v>928</v>
      </c>
      <c r="S288" s="23" t="s">
        <v>929</v>
      </c>
      <c r="AS288" s="3"/>
      <c r="BD288" s="97"/>
      <c r="DC288" s="182"/>
      <c r="DE288" s="128" t="s">
        <v>2985</v>
      </c>
      <c r="DF288" s="128">
        <f>DF287*1</f>
        <v>1</v>
      </c>
      <c r="DG288" s="1" t="s">
        <v>2990</v>
      </c>
      <c r="DH288" s="406">
        <f>IF(DF290=1,DH287,DH285)</f>
        <v>0</v>
      </c>
      <c r="DK288" s="182"/>
      <c r="EL288" s="3"/>
      <c r="EM288" s="3"/>
      <c r="FK288" s="135"/>
      <c r="HK288" s="170"/>
      <c r="HM288" s="1" t="s">
        <v>3726</v>
      </c>
      <c r="HT288" s="128"/>
      <c r="HU288" s="534">
        <v>17</v>
      </c>
      <c r="HV288" s="534" t="s">
        <v>3727</v>
      </c>
      <c r="IB288" s="170"/>
      <c r="IC288" s="405"/>
      <c r="ID288" s="527" t="s">
        <v>769</v>
      </c>
      <c r="IE288" s="528" t="s">
        <v>769</v>
      </c>
      <c r="IF288" s="37" t="s">
        <v>3728</v>
      </c>
      <c r="IG288" s="37"/>
      <c r="IH288" s="37"/>
      <c r="II288" s="1"/>
      <c r="IM288" s="405"/>
      <c r="IN288" s="178"/>
      <c r="IO288" s="1"/>
      <c r="IP288" s="108" t="s">
        <v>3697</v>
      </c>
      <c r="IQ288" s="65" t="str">
        <f>IQ285</f>
        <v/>
      </c>
      <c r="IR288" s="141" t="s">
        <v>2069</v>
      </c>
      <c r="IS288" s="65" t="str">
        <f>IQ286</f>
        <v/>
      </c>
      <c r="IT288" s="1"/>
      <c r="IU288" s="1"/>
      <c r="IV288" s="1"/>
      <c r="IW288" s="1"/>
      <c r="IX288" s="1"/>
      <c r="IY288" s="1"/>
      <c r="IZ288" s="1"/>
      <c r="JA288" s="1"/>
      <c r="JB288" s="1"/>
      <c r="JC288" s="178"/>
      <c r="JD288" s="135"/>
    </row>
    <row r="289" spans="9:264">
      <c r="I289" s="22"/>
      <c r="J289" s="156" t="s">
        <v>930</v>
      </c>
      <c r="K289" s="156" t="s">
        <v>930</v>
      </c>
      <c r="L289" s="22">
        <v>6</v>
      </c>
      <c r="M289" s="22">
        <v>20</v>
      </c>
      <c r="N289" s="22">
        <v>18.8</v>
      </c>
      <c r="O289" s="22">
        <v>-30</v>
      </c>
      <c r="P289" s="22">
        <v>-3</v>
      </c>
      <c r="Q289" s="22">
        <v>-48</v>
      </c>
      <c r="R289" s="22" t="s">
        <v>931</v>
      </c>
      <c r="S289" s="23" t="s">
        <v>932</v>
      </c>
      <c r="AS289" s="3"/>
      <c r="BD289" s="97"/>
      <c r="DC289" s="182"/>
      <c r="DE289" s="128" t="s">
        <v>2987</v>
      </c>
      <c r="DF289" s="6">
        <f>IF(DF288=1,DF286,0)</f>
        <v>0</v>
      </c>
      <c r="DG289" s="1" t="s">
        <v>2069</v>
      </c>
      <c r="DH289" s="175"/>
      <c r="DK289" s="182"/>
      <c r="EL289" s="3"/>
      <c r="EM289" s="3"/>
      <c r="FK289" s="135"/>
      <c r="HK289" s="170"/>
      <c r="HM289" s="1" t="s">
        <v>3605</v>
      </c>
      <c r="HN289" s="1">
        <f>IF(HN274=HM289,3,0)</f>
        <v>0</v>
      </c>
      <c r="HT289" s="128"/>
      <c r="HU289" s="534">
        <v>18</v>
      </c>
      <c r="HV289" s="534" t="s">
        <v>3729</v>
      </c>
      <c r="IB289" s="170"/>
      <c r="IC289" s="405"/>
      <c r="ID289" s="527" t="s">
        <v>2375</v>
      </c>
      <c r="IE289" s="528" t="s">
        <v>2375</v>
      </c>
      <c r="IF289" s="37" t="s">
        <v>3730</v>
      </c>
      <c r="IG289" s="37"/>
      <c r="IH289" s="37"/>
      <c r="II289" s="1"/>
      <c r="IJ289" s="6" t="s">
        <v>4044</v>
      </c>
      <c r="IK289" t="str">
        <f>IF(IK284=1,"ωωω δ",IK286)</f>
        <v/>
      </c>
      <c r="IM289" s="405"/>
      <c r="IN289" s="178"/>
      <c r="IO289" s="1"/>
      <c r="IP289" s="1" t="s">
        <v>3635</v>
      </c>
      <c r="IQ289" s="135" t="str">
        <f>CONCATENATE(IQ288,IR288,IS288)</f>
        <v xml:space="preserve"> </v>
      </c>
      <c r="IR289" s="1"/>
      <c r="IS289" s="1"/>
      <c r="IT289" s="1"/>
      <c r="IU289" s="1"/>
      <c r="IV289" s="1"/>
      <c r="IW289" s="1"/>
      <c r="IX289" s="1"/>
      <c r="IY289" s="1"/>
      <c r="IZ289" s="1"/>
      <c r="JA289" s="1"/>
      <c r="JB289" s="1"/>
      <c r="JC289" s="178"/>
      <c r="JD289" s="135"/>
    </row>
    <row r="290" spans="9:264">
      <c r="I290" s="22"/>
      <c r="J290" s="156" t="s">
        <v>933</v>
      </c>
      <c r="K290" s="156" t="s">
        <v>933</v>
      </c>
      <c r="L290" s="22">
        <v>7</v>
      </c>
      <c r="M290" s="22">
        <v>24</v>
      </c>
      <c r="N290" s="22">
        <v>5.7</v>
      </c>
      <c r="O290" s="22">
        <v>-29</v>
      </c>
      <c r="P290" s="22">
        <v>-18</v>
      </c>
      <c r="Q290" s="22">
        <v>-11</v>
      </c>
      <c r="R290" s="22" t="s">
        <v>934</v>
      </c>
      <c r="S290" s="23" t="s">
        <v>935</v>
      </c>
      <c r="AS290" s="3"/>
      <c r="BD290" s="97"/>
      <c r="DC290" s="182"/>
      <c r="DE290" s="132" t="s">
        <v>2989</v>
      </c>
      <c r="DF290" s="132">
        <f>IF(DF289&lt;0,1,0)</f>
        <v>0</v>
      </c>
      <c r="DG290" s="108" t="s">
        <v>2993</v>
      </c>
      <c r="DK290" s="182"/>
      <c r="EL290" s="3"/>
      <c r="EM290" s="3"/>
      <c r="FK290" s="135"/>
      <c r="HK290" s="170"/>
      <c r="HM290" s="1" t="s">
        <v>3731</v>
      </c>
      <c r="HN290" s="1">
        <f>IF(HN274=HM290,3,0)</f>
        <v>0</v>
      </c>
      <c r="HT290" s="128"/>
      <c r="HU290" s="534">
        <v>19</v>
      </c>
      <c r="HV290" s="534" t="s">
        <v>3732</v>
      </c>
      <c r="IB290" s="170"/>
      <c r="IC290" s="405"/>
      <c r="ID290" s="527" t="s">
        <v>960</v>
      </c>
      <c r="IE290" s="528" t="s">
        <v>960</v>
      </c>
      <c r="IF290" s="37" t="s">
        <v>3733</v>
      </c>
      <c r="IG290" s="37"/>
      <c r="IH290" s="37"/>
      <c r="II290" s="1"/>
      <c r="IJ290" s="6" t="s">
        <v>4032</v>
      </c>
      <c r="IK290" s="6" t="str">
        <f>IF(IK284=3,"ωωω γ",IK289)</f>
        <v/>
      </c>
      <c r="IM290" s="405"/>
      <c r="IN290" s="178"/>
      <c r="IO290" s="1"/>
      <c r="IP290" s="1"/>
      <c r="IQ290" s="1"/>
      <c r="IR290" s="1"/>
      <c r="IS290" s="1"/>
      <c r="IT290" s="1"/>
      <c r="IU290" s="1"/>
      <c r="IV290" s="1"/>
      <c r="IW290" s="1"/>
      <c r="IX290" s="1"/>
      <c r="IY290" s="1"/>
      <c r="IZ290" s="1"/>
      <c r="JA290" s="1"/>
      <c r="JB290" s="1"/>
      <c r="JC290" s="178"/>
      <c r="JD290" s="135"/>
    </row>
    <row r="291" spans="9:264">
      <c r="I291" s="22"/>
      <c r="J291" s="156" t="s">
        <v>936</v>
      </c>
      <c r="K291" s="156" t="s">
        <v>936</v>
      </c>
      <c r="L291" s="22">
        <v>6</v>
      </c>
      <c r="M291" s="22">
        <v>36</v>
      </c>
      <c r="N291" s="22">
        <v>22.9</v>
      </c>
      <c r="O291" s="22">
        <v>-18</v>
      </c>
      <c r="P291" s="22">
        <v>-39</v>
      </c>
      <c r="Q291" s="22">
        <v>-36</v>
      </c>
      <c r="R291" s="22" t="s">
        <v>937</v>
      </c>
      <c r="S291" s="23" t="s">
        <v>938</v>
      </c>
      <c r="V291" s="5"/>
      <c r="W291" s="5"/>
      <c r="X291" s="283" t="s">
        <v>3101</v>
      </c>
      <c r="Y291" s="5"/>
      <c r="Z291" s="342"/>
      <c r="AA291" s="5"/>
      <c r="AB291" s="5"/>
      <c r="AC291" s="5"/>
      <c r="AD291" s="5"/>
      <c r="AE291" s="5"/>
      <c r="AF291" s="5"/>
      <c r="AG291" s="5"/>
      <c r="AS291" s="3"/>
      <c r="BD291" s="97"/>
      <c r="DC291" s="182"/>
      <c r="DE291" s="128" t="s">
        <v>2992</v>
      </c>
      <c r="DF291" s="128">
        <f>IF(DF290=1,DF289,0)</f>
        <v>0</v>
      </c>
      <c r="DG291" s="1" t="s">
        <v>2994</v>
      </c>
      <c r="DH291" s="1">
        <f>IF(DF290=1,DH281,0)</f>
        <v>0</v>
      </c>
      <c r="DK291" s="182"/>
      <c r="EL291" s="3"/>
      <c r="EM291" s="3"/>
      <c r="FK291" s="135"/>
      <c r="HK291" s="170"/>
      <c r="HM291" s="1" t="s">
        <v>3737</v>
      </c>
      <c r="HN291" s="1">
        <f>IF(HN274=HM291,3,0)</f>
        <v>0</v>
      </c>
      <c r="HT291" s="128"/>
      <c r="HU291" s="534">
        <v>20</v>
      </c>
      <c r="HV291" s="534" t="s">
        <v>3738</v>
      </c>
      <c r="IB291" s="170"/>
      <c r="IC291" s="405"/>
      <c r="ID291" s="527" t="s">
        <v>3739</v>
      </c>
      <c r="IE291" s="528" t="s">
        <v>3739</v>
      </c>
      <c r="IF291" s="37" t="s">
        <v>3740</v>
      </c>
      <c r="IG291" s="37"/>
      <c r="IH291" s="37"/>
      <c r="II291" s="1"/>
      <c r="IJ291" s="1" t="s">
        <v>4033</v>
      </c>
      <c r="IL291" s="1"/>
      <c r="IM291" s="405"/>
      <c r="IN291" s="178"/>
      <c r="IO291" s="1"/>
      <c r="IP291" s="1"/>
      <c r="IQ291" s="1"/>
      <c r="IR291" s="1"/>
      <c r="IS291" s="1"/>
      <c r="IT291" s="1"/>
      <c r="IU291" s="1"/>
      <c r="IV291" s="1"/>
      <c r="IW291" s="1"/>
      <c r="IX291" s="1"/>
      <c r="IY291" s="1"/>
      <c r="IZ291" s="1"/>
      <c r="JA291" s="1"/>
      <c r="JB291" s="1"/>
      <c r="JC291" s="178"/>
      <c r="JD291" s="135"/>
    </row>
    <row r="292" spans="9:264">
      <c r="I292" s="24" t="s">
        <v>939</v>
      </c>
      <c r="J292" s="157" t="s">
        <v>940</v>
      </c>
      <c r="K292" s="157" t="s">
        <v>940</v>
      </c>
      <c r="L292" s="24" t="s">
        <v>39</v>
      </c>
      <c r="M292" s="24" t="s">
        <v>941</v>
      </c>
      <c r="N292" s="24" t="s">
        <v>914</v>
      </c>
      <c r="O292" s="24" t="s">
        <v>40</v>
      </c>
      <c r="P292" s="24" t="s">
        <v>942</v>
      </c>
      <c r="Q292" s="24" t="s">
        <v>943</v>
      </c>
      <c r="R292" s="24" t="s">
        <v>944</v>
      </c>
      <c r="S292" s="27" t="s">
        <v>942</v>
      </c>
      <c r="AS292" s="3"/>
      <c r="BD292" s="97"/>
      <c r="DC292" s="182"/>
      <c r="DE292" s="128" t="s">
        <v>3012</v>
      </c>
      <c r="DF292" s="128">
        <f>DF291*-1</f>
        <v>0</v>
      </c>
      <c r="DG292" s="1" t="s">
        <v>2988</v>
      </c>
      <c r="DH292" s="1">
        <f>-1*DH291</f>
        <v>0</v>
      </c>
      <c r="DK292" s="182"/>
      <c r="EL292" s="3"/>
      <c r="EM292" s="3"/>
      <c r="FK292" s="135"/>
      <c r="HK292" s="170"/>
      <c r="HM292" s="1" t="s">
        <v>3688</v>
      </c>
      <c r="HN292" s="170">
        <f>HN289+HN290+HN291</f>
        <v>0</v>
      </c>
      <c r="HT292" s="128"/>
      <c r="HU292" s="534">
        <v>21</v>
      </c>
      <c r="HV292" s="534" t="s">
        <v>3742</v>
      </c>
      <c r="IB292" s="170"/>
      <c r="IC292" s="405"/>
      <c r="ID292" s="527" t="s">
        <v>2473</v>
      </c>
      <c r="IE292" s="528" t="s">
        <v>2473</v>
      </c>
      <c r="IF292" s="37" t="s">
        <v>3743</v>
      </c>
      <c r="IG292" s="37"/>
      <c r="IH292" s="37"/>
      <c r="II292" s="1"/>
      <c r="IJ292" s="602" t="s">
        <v>4012</v>
      </c>
      <c r="IK292" s="603">
        <f>IF(IK273=IL273,IK290,IK272)</f>
        <v>0</v>
      </c>
      <c r="IM292" s="405"/>
      <c r="IN292" s="178"/>
      <c r="IO292" s="1"/>
      <c r="IP292" s="1"/>
      <c r="IQ292" s="1"/>
      <c r="IR292" s="1"/>
      <c r="IS292" s="1"/>
      <c r="IT292" s="1"/>
      <c r="IU292" s="1"/>
      <c r="IV292" s="1"/>
      <c r="IW292" s="1"/>
      <c r="IX292" s="1"/>
      <c r="IY292" s="1"/>
      <c r="IZ292" s="1"/>
      <c r="JA292" s="1"/>
      <c r="JB292" s="1"/>
      <c r="JC292" s="178"/>
      <c r="JD292" s="135"/>
    </row>
    <row r="293" spans="9:264">
      <c r="I293" s="22"/>
      <c r="J293" s="156" t="s">
        <v>945</v>
      </c>
      <c r="K293" s="156" t="s">
        <v>945</v>
      </c>
      <c r="L293" s="22">
        <v>7</v>
      </c>
      <c r="M293" s="22">
        <v>39</v>
      </c>
      <c r="N293" s="22">
        <v>18.100000000000001</v>
      </c>
      <c r="O293" s="22">
        <v>5</v>
      </c>
      <c r="P293" s="22">
        <v>13</v>
      </c>
      <c r="Q293" s="22">
        <v>30</v>
      </c>
      <c r="R293" s="22" t="s">
        <v>946</v>
      </c>
      <c r="S293" s="23" t="s">
        <v>947</v>
      </c>
      <c r="AS293" s="3"/>
      <c r="BD293" s="97"/>
      <c r="DC293" s="182"/>
      <c r="DE293" s="128" t="s">
        <v>2995</v>
      </c>
      <c r="DF293" s="6">
        <f>IF(DF292=0,DF289,DF292)</f>
        <v>0</v>
      </c>
      <c r="DG293" s="1" t="s">
        <v>2996</v>
      </c>
      <c r="DH293" s="406">
        <f>IF(DF290=1,DH292,DH281)</f>
        <v>0</v>
      </c>
      <c r="DK293" s="182"/>
      <c r="EL293" s="3"/>
      <c r="EM293" s="3"/>
      <c r="FK293" s="135"/>
      <c r="HK293" s="170"/>
      <c r="HM293" s="191">
        <v>4</v>
      </c>
      <c r="HT293" s="128"/>
      <c r="HU293" s="534">
        <v>22</v>
      </c>
      <c r="HV293" s="534" t="s">
        <v>3746</v>
      </c>
      <c r="IB293" s="170"/>
      <c r="IC293" s="405"/>
      <c r="ID293" s="527" t="s">
        <v>995</v>
      </c>
      <c r="IE293" s="528" t="s">
        <v>995</v>
      </c>
      <c r="IF293" s="37" t="s">
        <v>3747</v>
      </c>
      <c r="IG293" s="37"/>
      <c r="IH293" s="37"/>
      <c r="II293" s="1"/>
      <c r="IJ293" s="604"/>
      <c r="IK293" s="605"/>
      <c r="IM293" s="405"/>
      <c r="IN293" s="178"/>
      <c r="IO293" s="1"/>
      <c r="IP293" s="1"/>
      <c r="IQ293" s="1"/>
      <c r="IR293" s="1"/>
      <c r="IS293" s="1"/>
      <c r="IT293" s="1"/>
      <c r="IU293" s="1"/>
      <c r="IV293" s="1"/>
      <c r="IW293" s="1"/>
      <c r="IX293" s="1"/>
      <c r="IY293" s="1"/>
      <c r="IZ293" s="1"/>
      <c r="JA293" s="1"/>
      <c r="JB293" s="1"/>
      <c r="JC293" s="178"/>
      <c r="JD293" s="135"/>
    </row>
    <row r="294" spans="9:264">
      <c r="I294" s="22"/>
      <c r="J294" s="156" t="s">
        <v>948</v>
      </c>
      <c r="K294" s="156" t="s">
        <v>948</v>
      </c>
      <c r="L294" s="22">
        <v>7</v>
      </c>
      <c r="M294" s="22">
        <v>27</v>
      </c>
      <c r="N294" s="22">
        <v>9</v>
      </c>
      <c r="O294" s="22">
        <v>8</v>
      </c>
      <c r="P294" s="22">
        <v>17</v>
      </c>
      <c r="Q294" s="22">
        <v>22</v>
      </c>
      <c r="R294" s="22" t="s">
        <v>949</v>
      </c>
      <c r="S294" s="23" t="s">
        <v>950</v>
      </c>
      <c r="AS294" s="3"/>
      <c r="BD294" s="97"/>
      <c r="DC294" s="182"/>
      <c r="DE294" s="145" t="s">
        <v>3013</v>
      </c>
      <c r="DF294" s="6">
        <f>DF293</f>
        <v>0</v>
      </c>
      <c r="DG294" s="1" t="s">
        <v>3275</v>
      </c>
      <c r="DH294" s="175"/>
      <c r="DK294" s="182"/>
      <c r="EL294" s="3"/>
      <c r="EM294" s="3"/>
      <c r="FK294" s="135"/>
      <c r="HK294" s="170"/>
      <c r="HM294" s="1" t="s">
        <v>3749</v>
      </c>
      <c r="HT294" s="128"/>
      <c r="HU294" s="534">
        <v>23</v>
      </c>
      <c r="HV294" s="534" t="s">
        <v>3750</v>
      </c>
      <c r="IB294" s="170"/>
      <c r="IC294" s="405"/>
      <c r="ID294" s="527" t="s">
        <v>975</v>
      </c>
      <c r="IE294" s="528" t="s">
        <v>975</v>
      </c>
      <c r="IF294" s="37" t="s">
        <v>3751</v>
      </c>
      <c r="IG294" s="37"/>
      <c r="IH294" s="37"/>
      <c r="II294" s="1"/>
      <c r="IJ294" s="606" t="s">
        <v>2984</v>
      </c>
      <c r="IK294" s="607">
        <f>FR307</f>
        <v>0</v>
      </c>
      <c r="IM294" s="405"/>
      <c r="IN294" s="178"/>
      <c r="IO294" s="1"/>
      <c r="IP294" s="1"/>
      <c r="IQ294" s="1"/>
      <c r="IR294" s="1"/>
      <c r="IS294" s="1"/>
      <c r="IT294" s="1"/>
      <c r="IU294" s="1"/>
      <c r="IV294" s="1"/>
      <c r="IW294" s="1"/>
      <c r="IX294" s="1"/>
      <c r="IY294" s="1"/>
      <c r="IZ294" s="1"/>
      <c r="JA294" s="1"/>
      <c r="JB294" s="1"/>
      <c r="JC294" s="178"/>
      <c r="JD294" s="135"/>
    </row>
    <row r="295" spans="9:264">
      <c r="I295" s="22"/>
      <c r="J295" s="156" t="s">
        <v>951</v>
      </c>
      <c r="K295" s="156" t="s">
        <v>951</v>
      </c>
      <c r="L295" s="22">
        <v>7</v>
      </c>
      <c r="M295" s="22">
        <v>28</v>
      </c>
      <c r="N295" s="22">
        <v>9.8000000000000007</v>
      </c>
      <c r="O295" s="22">
        <v>8</v>
      </c>
      <c r="P295" s="22">
        <v>55</v>
      </c>
      <c r="Q295" s="22">
        <v>32</v>
      </c>
      <c r="R295" s="22" t="s">
        <v>952</v>
      </c>
      <c r="S295" s="23" t="s">
        <v>953</v>
      </c>
      <c r="AS295" s="3"/>
      <c r="BD295" s="97"/>
      <c r="DC295" s="182"/>
      <c r="DE295" s="1" t="s">
        <v>3014</v>
      </c>
      <c r="DF295" s="190">
        <f>IF(DF294&gt;100,0,DF294)</f>
        <v>0</v>
      </c>
      <c r="DK295" s="182"/>
      <c r="EL295" s="3"/>
      <c r="EM295" s="3"/>
      <c r="FK295" s="135"/>
      <c r="FO295" s="1" t="s">
        <v>3753</v>
      </c>
      <c r="HK295" s="170"/>
      <c r="HM295" s="1" t="s">
        <v>3660</v>
      </c>
      <c r="HN295" s="1">
        <f>IF(HN274=HM295,4,0)</f>
        <v>0</v>
      </c>
      <c r="HT295" s="128"/>
      <c r="HU295" s="534">
        <v>24</v>
      </c>
      <c r="HV295" s="534" t="s">
        <v>3755</v>
      </c>
      <c r="IB295" s="170"/>
      <c r="IC295" s="405"/>
      <c r="ID295" s="527" t="s">
        <v>1019</v>
      </c>
      <c r="IE295" s="528" t="s">
        <v>1019</v>
      </c>
      <c r="IF295" s="37" t="s">
        <v>3756</v>
      </c>
      <c r="IG295" s="37"/>
      <c r="IH295" s="37"/>
      <c r="II295" s="1"/>
      <c r="IM295" s="405"/>
      <c r="IN295" s="178"/>
      <c r="IO295" s="1"/>
      <c r="IP295" s="1"/>
      <c r="IQ295" s="1"/>
      <c r="IR295" s="1"/>
      <c r="IS295" s="1"/>
      <c r="IT295" s="1"/>
      <c r="IU295" s="1"/>
      <c r="IV295" s="1"/>
      <c r="IW295" s="1"/>
      <c r="IX295" s="1"/>
      <c r="IY295" s="1"/>
      <c r="IZ295" s="1"/>
      <c r="JA295" s="1"/>
      <c r="JB295" s="1"/>
      <c r="JC295" s="178"/>
      <c r="JD295" s="135"/>
    </row>
    <row r="296" spans="9:264">
      <c r="I296" s="24" t="s">
        <v>954</v>
      </c>
      <c r="J296" s="157" t="s">
        <v>955</v>
      </c>
      <c r="K296" s="157" t="s">
        <v>955</v>
      </c>
      <c r="L296" s="24" t="s">
        <v>39</v>
      </c>
      <c r="M296" s="24" t="s">
        <v>956</v>
      </c>
      <c r="N296" s="24" t="s">
        <v>957</v>
      </c>
      <c r="O296" s="24" t="s">
        <v>958</v>
      </c>
      <c r="P296" s="24" t="s">
        <v>959</v>
      </c>
      <c r="Q296" s="24" t="s">
        <v>960</v>
      </c>
      <c r="R296" s="24" t="s">
        <v>961</v>
      </c>
      <c r="S296" s="27" t="s">
        <v>962</v>
      </c>
      <c r="AS296" s="3"/>
      <c r="BD296" s="97"/>
      <c r="DC296" s="182"/>
      <c r="DD296" s="182"/>
      <c r="DE296" s="182"/>
      <c r="DF296" s="182"/>
      <c r="DG296" s="182"/>
      <c r="DH296" s="182"/>
      <c r="DI296" s="182"/>
      <c r="DJ296" s="182"/>
      <c r="DK296" s="182"/>
      <c r="EL296" s="3"/>
      <c r="EM296" s="3"/>
      <c r="FK296" s="135"/>
      <c r="FO296" s="1" t="s">
        <v>3757</v>
      </c>
      <c r="HK296" s="170"/>
      <c r="HM296" s="1" t="s">
        <v>3759</v>
      </c>
      <c r="HN296" s="1">
        <f>IF(HN274=HM296,4,0)</f>
        <v>0</v>
      </c>
      <c r="HT296" s="128"/>
      <c r="HU296" s="534">
        <v>25</v>
      </c>
      <c r="HV296" s="534" t="s">
        <v>3705</v>
      </c>
      <c r="IB296" s="170"/>
      <c r="IC296" s="405"/>
      <c r="ID296" s="527" t="s">
        <v>1030</v>
      </c>
      <c r="IE296" s="528" t="s">
        <v>1030</v>
      </c>
      <c r="IF296" s="37" t="s">
        <v>3760</v>
      </c>
      <c r="IG296" s="37"/>
      <c r="IH296" s="37"/>
      <c r="II296" s="1"/>
      <c r="IJ296" s="6"/>
      <c r="IM296" s="405"/>
      <c r="IN296" s="178"/>
      <c r="IO296" s="1"/>
      <c r="IP296" s="1"/>
      <c r="IQ296" s="1"/>
      <c r="IR296" s="1"/>
      <c r="IS296" s="1"/>
      <c r="IT296" s="1"/>
      <c r="IU296" s="1"/>
      <c r="IV296" s="1"/>
      <c r="IW296" s="1"/>
      <c r="IX296" s="1"/>
      <c r="IY296" s="1"/>
      <c r="IZ296" s="1"/>
      <c r="JA296" s="1"/>
      <c r="JB296" s="1"/>
      <c r="JC296" s="178"/>
      <c r="JD296" s="135"/>
    </row>
    <row r="297" spans="9:264">
      <c r="I297" s="22"/>
      <c r="J297" s="156" t="s">
        <v>963</v>
      </c>
      <c r="K297" s="156" t="s">
        <v>963</v>
      </c>
      <c r="L297" s="22">
        <v>13</v>
      </c>
      <c r="M297" s="22">
        <v>9</v>
      </c>
      <c r="N297" s="22">
        <v>59.3</v>
      </c>
      <c r="O297" s="22">
        <v>17</v>
      </c>
      <c r="P297" s="22">
        <v>31</v>
      </c>
      <c r="Q297" s="22">
        <v>46</v>
      </c>
      <c r="R297" s="22" t="s">
        <v>964</v>
      </c>
      <c r="S297" s="23" t="s">
        <v>965</v>
      </c>
      <c r="AS297" s="3"/>
      <c r="BD297" s="97"/>
      <c r="DC297" s="182"/>
      <c r="DD297" s="175"/>
      <c r="DE297" s="267" t="s">
        <v>2998</v>
      </c>
      <c r="DF297" s="57">
        <f>DF336</f>
        <v>0</v>
      </c>
      <c r="DG297" s="175"/>
      <c r="DH297" s="175"/>
      <c r="DI297" s="175"/>
      <c r="DJ297" s="175"/>
      <c r="DK297" s="182"/>
      <c r="EL297" s="3"/>
      <c r="EM297" s="3"/>
      <c r="FK297" s="135"/>
      <c r="HK297" s="170"/>
      <c r="HM297" s="1" t="s">
        <v>3763</v>
      </c>
      <c r="HN297" s="1">
        <f>IF(HN274=HM297,4,0)</f>
        <v>0</v>
      </c>
      <c r="HU297" s="534">
        <v>26</v>
      </c>
      <c r="HV297" s="534" t="s">
        <v>3764</v>
      </c>
      <c r="IB297" s="170"/>
      <c r="IC297" s="405"/>
      <c r="ID297" s="527" t="s">
        <v>358</v>
      </c>
      <c r="IE297" s="528" t="s">
        <v>358</v>
      </c>
      <c r="IF297" s="37" t="s">
        <v>3765</v>
      </c>
      <c r="IG297" s="37"/>
      <c r="IH297" s="37"/>
      <c r="II297" s="1"/>
      <c r="IM297" s="405"/>
      <c r="IN297" s="178"/>
      <c r="IO297" s="1"/>
      <c r="IP297" s="108" t="s">
        <v>3734</v>
      </c>
      <c r="IQ297" s="1"/>
      <c r="IR297" s="1"/>
      <c r="IS297" s="1"/>
      <c r="IT297" s="1"/>
      <c r="IU297" s="1"/>
      <c r="IV297" s="1"/>
      <c r="IW297" s="1"/>
      <c r="IX297" s="1"/>
      <c r="IY297" s="1"/>
      <c r="IZ297" s="1"/>
      <c r="JA297" s="1"/>
      <c r="JB297" s="1"/>
      <c r="JC297" s="178"/>
      <c r="JD297" s="135"/>
    </row>
    <row r="298" spans="9:264">
      <c r="I298" s="22"/>
      <c r="J298" s="156" t="s">
        <v>966</v>
      </c>
      <c r="K298" s="156" t="s">
        <v>966</v>
      </c>
      <c r="L298" s="22">
        <v>13</v>
      </c>
      <c r="M298" s="22">
        <v>11</v>
      </c>
      <c r="N298" s="22">
        <v>52.4</v>
      </c>
      <c r="O298" s="22">
        <v>27</v>
      </c>
      <c r="P298" s="22">
        <v>25</v>
      </c>
      <c r="Q298" s="22">
        <v>41</v>
      </c>
      <c r="R298" s="22" t="s">
        <v>967</v>
      </c>
      <c r="S298" s="23" t="s">
        <v>968</v>
      </c>
      <c r="AS298" s="3"/>
      <c r="BD298" s="97"/>
      <c r="DC298" s="182"/>
      <c r="DD298" s="402"/>
      <c r="DE298" s="402" t="s">
        <v>2935</v>
      </c>
      <c r="DF298" s="195">
        <f>IF(DF297&lt;10,0,DF297)</f>
        <v>0</v>
      </c>
      <c r="DG298" s="403" t="s">
        <v>2999</v>
      </c>
      <c r="DH298" s="402"/>
      <c r="DI298" s="402"/>
      <c r="DJ298" s="402"/>
      <c r="DK298" s="182"/>
      <c r="EL298" s="3"/>
      <c r="EM298" s="3"/>
      <c r="FK298" s="135"/>
      <c r="HK298" s="170"/>
      <c r="HM298" s="1" t="s">
        <v>3688</v>
      </c>
      <c r="HN298" s="170">
        <f>HN295+HN296+HN297</f>
        <v>0</v>
      </c>
      <c r="HU298" s="534">
        <v>27</v>
      </c>
      <c r="HV298" s="534" t="s">
        <v>3767</v>
      </c>
      <c r="IB298" s="170"/>
      <c r="IC298" s="405"/>
      <c r="ID298" s="527" t="s">
        <v>410</v>
      </c>
      <c r="IE298" s="528" t="s">
        <v>410</v>
      </c>
      <c r="IF298" s="37" t="s">
        <v>3768</v>
      </c>
      <c r="IG298" s="37"/>
      <c r="IH298" s="37"/>
      <c r="II298" s="1"/>
      <c r="IJ298" s="1"/>
      <c r="IK298" s="1"/>
      <c r="IL298" s="1"/>
      <c r="IM298" s="405"/>
      <c r="IN298" s="178"/>
      <c r="IO298" s="1"/>
      <c r="IP298" s="1" t="s">
        <v>3741</v>
      </c>
      <c r="IQ298" s="1" t="b">
        <f>ISNUMBER(IQ282)</f>
        <v>1</v>
      </c>
      <c r="IR298" s="235" t="b">
        <v>0</v>
      </c>
      <c r="IS298" s="1"/>
      <c r="IT298" s="1"/>
      <c r="IU298" s="1"/>
      <c r="IV298" s="1"/>
      <c r="IW298" s="1"/>
      <c r="IX298" s="1"/>
      <c r="IY298" s="1"/>
      <c r="IZ298" s="1"/>
      <c r="JA298" s="1"/>
      <c r="JB298" s="1"/>
      <c r="JC298" s="178"/>
      <c r="JD298" s="135"/>
    </row>
    <row r="299" spans="9:264">
      <c r="I299" s="22"/>
      <c r="J299" s="156" t="s">
        <v>969</v>
      </c>
      <c r="K299" s="156" t="s">
        <v>969</v>
      </c>
      <c r="L299" s="22">
        <v>12</v>
      </c>
      <c r="M299" s="22">
        <v>26</v>
      </c>
      <c r="N299" s="22">
        <v>56.3</v>
      </c>
      <c r="O299" s="22">
        <v>28</v>
      </c>
      <c r="P299" s="22">
        <v>16</v>
      </c>
      <c r="Q299" s="22">
        <v>6</v>
      </c>
      <c r="R299" s="22" t="s">
        <v>970</v>
      </c>
      <c r="S299" s="23" t="s">
        <v>971</v>
      </c>
      <c r="AS299" s="3"/>
      <c r="BD299" s="97"/>
      <c r="DC299" s="182"/>
      <c r="DE299" s="1" t="s">
        <v>2933</v>
      </c>
      <c r="DF299" s="404">
        <f>IF(DF298&lt;100,DF298,0)</f>
        <v>0</v>
      </c>
      <c r="DG299" s="1" t="s">
        <v>2931</v>
      </c>
      <c r="DH299" s="405">
        <f t="shared" ref="DH299:DH307" si="16">IF(DF300=0,DF299,0)</f>
        <v>0</v>
      </c>
      <c r="DI299" s="1" t="s">
        <v>2936</v>
      </c>
      <c r="DJ299" s="170">
        <f>IF(DH299&gt;0,90,0)</f>
        <v>0</v>
      </c>
      <c r="DK299" s="182"/>
      <c r="EL299" s="3"/>
      <c r="EM299" s="3"/>
      <c r="FK299" s="135"/>
      <c r="HK299" s="170"/>
      <c r="HM299" s="191">
        <v>5</v>
      </c>
      <c r="HU299" s="534">
        <v>28</v>
      </c>
      <c r="HV299" s="534" t="s">
        <v>3755</v>
      </c>
      <c r="IB299" s="170"/>
      <c r="IC299" s="405"/>
      <c r="ID299" s="527" t="s">
        <v>658</v>
      </c>
      <c r="IE299" s="528" t="s">
        <v>658</v>
      </c>
      <c r="IF299" s="37" t="s">
        <v>3770</v>
      </c>
      <c r="IG299" s="37"/>
      <c r="IH299" s="37"/>
      <c r="II299" s="1"/>
      <c r="IJ299" s="1"/>
      <c r="IK299" s="1"/>
      <c r="IL299" s="1"/>
      <c r="IM299" s="405"/>
      <c r="IN299" s="178"/>
      <c r="IO299" s="1"/>
      <c r="IP299" s="1" t="s">
        <v>3744</v>
      </c>
      <c r="IQ299" s="1">
        <f>IF(IQ298=IR298,0,IQ282)</f>
        <v>0</v>
      </c>
      <c r="IR299" s="1"/>
      <c r="IS299" s="1"/>
      <c r="IT299" s="1"/>
      <c r="IU299" s="1"/>
      <c r="IV299" s="1"/>
      <c r="IW299" s="1"/>
      <c r="IX299" s="1"/>
      <c r="IY299" s="1"/>
      <c r="IZ299" s="1"/>
      <c r="JA299" s="1"/>
      <c r="JB299" s="1"/>
      <c r="JC299" s="178"/>
      <c r="JD299" s="135"/>
    </row>
    <row r="300" spans="9:264">
      <c r="I300" s="24" t="s">
        <v>972</v>
      </c>
      <c r="J300" s="157" t="s">
        <v>973</v>
      </c>
      <c r="K300" s="157" t="s">
        <v>973</v>
      </c>
      <c r="L300" s="24" t="s">
        <v>39</v>
      </c>
      <c r="M300" s="24" t="s">
        <v>972</v>
      </c>
      <c r="N300" s="24" t="s">
        <v>972</v>
      </c>
      <c r="O300" s="24" t="s">
        <v>40</v>
      </c>
      <c r="P300" s="24" t="s">
        <v>974</v>
      </c>
      <c r="Q300" s="24" t="s">
        <v>975</v>
      </c>
      <c r="R300" s="24" t="s">
        <v>976</v>
      </c>
      <c r="S300" s="24" t="s">
        <v>974</v>
      </c>
      <c r="AS300" s="3"/>
      <c r="BD300" s="97"/>
      <c r="DC300" s="182"/>
      <c r="DE300" s="1" t="s">
        <v>2937</v>
      </c>
      <c r="DF300" s="404">
        <f>IF(DF298&lt;90,DF298,0)</f>
        <v>0</v>
      </c>
      <c r="DG300" s="1" t="s">
        <v>2931</v>
      </c>
      <c r="DH300" s="405">
        <f t="shared" si="16"/>
        <v>0</v>
      </c>
      <c r="DI300" s="1" t="s">
        <v>2938</v>
      </c>
      <c r="DJ300" s="170">
        <f>IF(DH300&gt;0,80,0)</f>
        <v>0</v>
      </c>
      <c r="DK300" s="182"/>
      <c r="EL300" s="3"/>
      <c r="EM300" s="3"/>
      <c r="FK300" s="135"/>
      <c r="FO300" s="525" t="s">
        <v>2823</v>
      </c>
      <c r="HK300" s="170"/>
      <c r="HM300" s="1" t="s">
        <v>3773</v>
      </c>
      <c r="HU300" s="534">
        <v>29</v>
      </c>
      <c r="HV300" s="534" t="s">
        <v>4049</v>
      </c>
      <c r="IB300" s="170"/>
      <c r="IC300" s="405"/>
      <c r="ID300" s="527" t="s">
        <v>611</v>
      </c>
      <c r="IE300" s="528" t="s">
        <v>611</v>
      </c>
      <c r="IF300" s="37" t="s">
        <v>3774</v>
      </c>
      <c r="IG300" s="37"/>
      <c r="IH300" s="37"/>
      <c r="II300" s="1"/>
      <c r="IJ300" s="1"/>
      <c r="IK300" s="1"/>
      <c r="IL300" s="1"/>
      <c r="IM300" s="405"/>
      <c r="IN300" s="178"/>
      <c r="IO300" s="1"/>
      <c r="IP300" s="1"/>
      <c r="IQ300" s="1"/>
      <c r="IR300" s="1"/>
      <c r="IS300" s="1"/>
      <c r="IT300" s="1"/>
      <c r="IU300" s="1"/>
      <c r="IV300" s="1"/>
      <c r="IW300" s="1"/>
      <c r="IX300" s="1"/>
      <c r="IY300" s="1"/>
      <c r="IZ300" s="1"/>
      <c r="JA300" s="1"/>
      <c r="JB300" s="1"/>
      <c r="JC300" s="178"/>
      <c r="JD300" s="135"/>
    </row>
    <row r="301" spans="9:264">
      <c r="I301" s="22"/>
      <c r="J301" s="156" t="s">
        <v>977</v>
      </c>
      <c r="K301" s="156" t="s">
        <v>977</v>
      </c>
      <c r="L301" s="22">
        <v>12</v>
      </c>
      <c r="M301" s="22">
        <v>8</v>
      </c>
      <c r="N301" s="22">
        <v>24.8</v>
      </c>
      <c r="O301" s="22">
        <v>-24</v>
      </c>
      <c r="P301" s="22">
        <v>-43</v>
      </c>
      <c r="Q301" s="22">
        <v>-44</v>
      </c>
      <c r="R301" s="22" t="s">
        <v>978</v>
      </c>
      <c r="S301" s="23" t="s">
        <v>979</v>
      </c>
      <c r="AS301" s="3"/>
      <c r="BD301" s="97"/>
      <c r="DC301" s="182"/>
      <c r="DE301" s="1" t="s">
        <v>2939</v>
      </c>
      <c r="DF301" s="404">
        <f>IF(DF298&lt;80,DF298,0)</f>
        <v>0</v>
      </c>
      <c r="DG301" s="1" t="s">
        <v>2931</v>
      </c>
      <c r="DH301" s="405">
        <f t="shared" si="16"/>
        <v>0</v>
      </c>
      <c r="DI301" s="1" t="s">
        <v>2940</v>
      </c>
      <c r="DJ301" s="170">
        <f>IF(DH301&gt;0,70,0)</f>
        <v>0</v>
      </c>
      <c r="DK301" s="182"/>
      <c r="EL301" s="3"/>
      <c r="EM301" s="3"/>
      <c r="FK301" s="135"/>
      <c r="FO301" s="534" t="s">
        <v>2919</v>
      </c>
      <c r="HK301" s="170"/>
      <c r="HM301" s="1" t="s">
        <v>3663</v>
      </c>
      <c r="HN301" s="1">
        <f>IF(HN274=HM301,5,0)</f>
        <v>0</v>
      </c>
      <c r="HU301" s="534"/>
      <c r="HV301" s="534"/>
      <c r="IB301" s="170"/>
      <c r="IC301" s="405"/>
      <c r="ID301" s="527" t="s">
        <v>764</v>
      </c>
      <c r="IE301" s="528" t="s">
        <v>764</v>
      </c>
      <c r="IF301" s="37" t="s">
        <v>3776</v>
      </c>
      <c r="IG301" s="37"/>
      <c r="IH301" s="37"/>
      <c r="II301" s="1"/>
      <c r="IJ301" s="1"/>
      <c r="IK301" s="1"/>
      <c r="IL301" s="1"/>
      <c r="IM301" s="405"/>
      <c r="IN301" s="178"/>
      <c r="IO301" s="1"/>
      <c r="IP301" s="1"/>
      <c r="IQ301" s="1" t="s">
        <v>3284</v>
      </c>
      <c r="IR301" s="1" t="s">
        <v>3752</v>
      </c>
      <c r="IS301" s="128"/>
      <c r="IT301" s="1"/>
      <c r="IU301" s="1"/>
      <c r="IV301" s="1"/>
      <c r="IW301" s="1"/>
      <c r="IX301" s="1"/>
      <c r="IY301" s="1"/>
      <c r="IZ301" s="1"/>
      <c r="JA301" s="1"/>
      <c r="JB301" s="1"/>
      <c r="JC301" s="178"/>
      <c r="JD301" s="135"/>
    </row>
    <row r="302" spans="9:264">
      <c r="I302" s="22"/>
      <c r="J302" s="156" t="s">
        <v>980</v>
      </c>
      <c r="K302" s="156" t="s">
        <v>980</v>
      </c>
      <c r="L302" s="22">
        <v>12</v>
      </c>
      <c r="M302" s="22">
        <v>34</v>
      </c>
      <c r="N302" s="22">
        <v>23.2</v>
      </c>
      <c r="O302" s="22">
        <v>-23</v>
      </c>
      <c r="P302" s="22">
        <v>-23</v>
      </c>
      <c r="Q302" s="22">
        <v>-48</v>
      </c>
      <c r="R302" s="22" t="s">
        <v>981</v>
      </c>
      <c r="S302" s="23" t="s">
        <v>982</v>
      </c>
      <c r="AS302" s="3"/>
      <c r="BD302" s="97"/>
      <c r="DC302" s="182"/>
      <c r="DE302" s="1" t="s">
        <v>2941</v>
      </c>
      <c r="DF302" s="404">
        <f>IF(DF298&lt;70,DF298,0)</f>
        <v>0</v>
      </c>
      <c r="DG302" s="1" t="s">
        <v>2931</v>
      </c>
      <c r="DH302" s="405">
        <f t="shared" si="16"/>
        <v>0</v>
      </c>
      <c r="DI302" s="1" t="s">
        <v>2942</v>
      </c>
      <c r="DJ302" s="170">
        <f>IF(DH302&gt;0,60,0)</f>
        <v>0</v>
      </c>
      <c r="DK302" s="182"/>
      <c r="EL302" s="3"/>
      <c r="EM302" s="3"/>
      <c r="FK302" s="135"/>
      <c r="FO302" s="549" t="str">
        <f>IO277</f>
        <v/>
      </c>
      <c r="HK302" s="170"/>
      <c r="HM302" s="1" t="s">
        <v>3779</v>
      </c>
      <c r="HN302" s="1">
        <f>IF(HN274=HM302,5,0)</f>
        <v>0</v>
      </c>
      <c r="HU302" s="534"/>
      <c r="HV302" s="534"/>
      <c r="IB302" s="170"/>
      <c r="IC302" s="405"/>
      <c r="ID302" s="527" t="s">
        <v>381</v>
      </c>
      <c r="IE302" s="528" t="s">
        <v>381</v>
      </c>
      <c r="IF302" s="37" t="s">
        <v>3780</v>
      </c>
      <c r="IG302" s="37"/>
      <c r="IH302" s="37"/>
      <c r="II302" s="1"/>
      <c r="IJ302" s="1"/>
      <c r="IK302" s="1"/>
      <c r="IL302" s="1"/>
      <c r="IM302" s="405"/>
      <c r="IN302" s="178"/>
      <c r="IO302" s="1"/>
      <c r="IP302" s="1"/>
      <c r="IQ302" s="187">
        <f>IQ281</f>
        <v>0</v>
      </c>
      <c r="IR302" s="190">
        <f>IQ299</f>
        <v>0</v>
      </c>
      <c r="IS302" s="1"/>
      <c r="IT302" s="1"/>
      <c r="IU302" s="1"/>
      <c r="IV302" s="1"/>
      <c r="IW302" s="1"/>
      <c r="IX302" s="1"/>
      <c r="IY302" s="1"/>
      <c r="IZ302" s="1"/>
      <c r="JA302" s="1"/>
      <c r="JB302" s="1"/>
      <c r="JC302" s="178"/>
      <c r="JD302" s="135"/>
    </row>
    <row r="303" spans="9:264">
      <c r="I303" s="22"/>
      <c r="J303" s="156" t="s">
        <v>983</v>
      </c>
      <c r="K303" s="156" t="s">
        <v>983</v>
      </c>
      <c r="L303" s="22">
        <v>12</v>
      </c>
      <c r="M303" s="22">
        <v>15</v>
      </c>
      <c r="N303" s="22">
        <v>48.4</v>
      </c>
      <c r="O303" s="22">
        <v>-17</v>
      </c>
      <c r="P303" s="22">
        <v>-32</v>
      </c>
      <c r="Q303" s="22">
        <v>-31</v>
      </c>
      <c r="R303" s="22" t="s">
        <v>984</v>
      </c>
      <c r="S303" s="23" t="s">
        <v>985</v>
      </c>
      <c r="AS303" s="3"/>
      <c r="BD303" s="97"/>
      <c r="DC303" s="182"/>
      <c r="DE303" s="1" t="s">
        <v>2943</v>
      </c>
      <c r="DF303" s="404">
        <f>IF(DF298&lt;60,DF298,0)</f>
        <v>0</v>
      </c>
      <c r="DG303" s="1" t="s">
        <v>2931</v>
      </c>
      <c r="DH303" s="405">
        <f t="shared" si="16"/>
        <v>0</v>
      </c>
      <c r="DI303" s="1" t="s">
        <v>2944</v>
      </c>
      <c r="DJ303" s="170">
        <f>IF(DH303&gt;0,50,0)</f>
        <v>0</v>
      </c>
      <c r="DK303" s="182"/>
      <c r="EL303" s="3"/>
      <c r="EM303" s="3"/>
      <c r="FK303" s="135"/>
      <c r="FN303" s="3"/>
      <c r="FO303" s="3"/>
      <c r="FP303" s="3"/>
      <c r="FQ303" s="3"/>
      <c r="FR303" s="3"/>
      <c r="FS303" s="3"/>
      <c r="FT303" s="3"/>
      <c r="HK303" s="170"/>
      <c r="HM303" s="1" t="s">
        <v>3781</v>
      </c>
      <c r="HN303" s="1">
        <f>IF(HN274=HM303,5,0)</f>
        <v>0</v>
      </c>
      <c r="HU303" s="534"/>
      <c r="HV303" s="534"/>
      <c r="IB303" s="170"/>
      <c r="IC303" s="405"/>
      <c r="ID303" s="527" t="s">
        <v>337</v>
      </c>
      <c r="IE303" s="528" t="s">
        <v>337</v>
      </c>
      <c r="IF303" s="37" t="s">
        <v>3782</v>
      </c>
      <c r="IG303" s="37"/>
      <c r="IH303" s="37"/>
      <c r="II303" s="1"/>
      <c r="IJ303" s="1"/>
      <c r="IK303" s="1"/>
      <c r="IL303" s="1"/>
      <c r="IM303" s="405"/>
      <c r="IN303" s="178"/>
      <c r="IO303" s="1"/>
      <c r="IP303" s="1" t="s">
        <v>3761</v>
      </c>
      <c r="IQ303" s="1">
        <f>IF(IR302&lt;10,IR302,0)</f>
        <v>0</v>
      </c>
      <c r="IR303" s="1"/>
      <c r="IS303" s="1"/>
      <c r="IT303" s="547">
        <f>IQ308</f>
        <v>0</v>
      </c>
      <c r="IU303" s="1"/>
      <c r="IV303" s="1"/>
      <c r="IW303" s="1"/>
      <c r="IX303" s="1"/>
      <c r="IY303" s="1"/>
      <c r="IZ303" s="1"/>
      <c r="JA303" s="1"/>
      <c r="JB303" s="1"/>
      <c r="JC303" s="178"/>
      <c r="JD303" s="135"/>
    </row>
    <row r="304" spans="9:264">
      <c r="I304" s="22"/>
      <c r="J304" s="156" t="s">
        <v>986</v>
      </c>
      <c r="K304" s="156" t="s">
        <v>986</v>
      </c>
      <c r="L304" s="22">
        <v>12</v>
      </c>
      <c r="M304" s="22">
        <v>29</v>
      </c>
      <c r="N304" s="22">
        <v>51.9</v>
      </c>
      <c r="O304" s="22">
        <v>-16</v>
      </c>
      <c r="P304" s="22">
        <v>-30</v>
      </c>
      <c r="Q304" s="22">
        <v>-56</v>
      </c>
      <c r="R304" s="22" t="s">
        <v>987</v>
      </c>
      <c r="S304" s="23" t="s">
        <v>988</v>
      </c>
      <c r="AS304" s="3"/>
      <c r="BD304" s="97"/>
      <c r="DC304" s="182"/>
      <c r="DE304" s="1" t="s">
        <v>2945</v>
      </c>
      <c r="DF304" s="404">
        <f>IF(DF298&lt;50,DF298,0)</f>
        <v>0</v>
      </c>
      <c r="DG304" s="1" t="s">
        <v>2931</v>
      </c>
      <c r="DH304" s="405">
        <f t="shared" si="16"/>
        <v>0</v>
      </c>
      <c r="DI304" s="1" t="s">
        <v>2946</v>
      </c>
      <c r="DJ304" s="170">
        <f>IF(DH304&gt;0,40,0)</f>
        <v>0</v>
      </c>
      <c r="DK304" s="182"/>
      <c r="EL304" s="3"/>
      <c r="EM304" s="3"/>
      <c r="FK304" s="135"/>
      <c r="FN304" s="3"/>
      <c r="FO304" s="550"/>
      <c r="FP304" s="550"/>
      <c r="FQ304" s="550"/>
      <c r="FR304" s="550" t="s">
        <v>3783</v>
      </c>
      <c r="FS304" s="550"/>
      <c r="FT304" s="3"/>
      <c r="HK304" s="170"/>
      <c r="HM304" s="1" t="s">
        <v>3688</v>
      </c>
      <c r="HN304" s="170">
        <f>HN301+HN302+HN303</f>
        <v>0</v>
      </c>
      <c r="HU304" s="521"/>
      <c r="HV304" s="521"/>
      <c r="IB304" s="170"/>
      <c r="IC304" s="405"/>
      <c r="ID304" s="527" t="s">
        <v>540</v>
      </c>
      <c r="IE304" s="528" t="s">
        <v>540</v>
      </c>
      <c r="IF304" s="37" t="s">
        <v>3785</v>
      </c>
      <c r="IG304" s="37"/>
      <c r="IH304" s="37"/>
      <c r="II304" s="1"/>
      <c r="IJ304" s="1"/>
      <c r="IK304" s="1"/>
      <c r="IL304" s="1"/>
      <c r="IM304" s="405"/>
      <c r="IN304" s="178"/>
      <c r="IO304" s="1"/>
      <c r="IP304" s="1" t="s">
        <v>3766</v>
      </c>
      <c r="IQ304" s="205">
        <f>IF(IQ303&gt;0,1,0)</f>
        <v>0</v>
      </c>
      <c r="IR304" s="1"/>
      <c r="IS304" s="1"/>
      <c r="IT304" s="65">
        <v>0</v>
      </c>
      <c r="IU304" s="141"/>
      <c r="IV304" s="65" t="s">
        <v>3694</v>
      </c>
      <c r="IW304" s="65" t="s">
        <v>3694</v>
      </c>
      <c r="IX304" s="1"/>
      <c r="IY304" s="1"/>
      <c r="IZ304" s="1"/>
      <c r="JA304" s="1"/>
      <c r="JB304" s="1"/>
      <c r="JC304" s="178"/>
      <c r="JD304" s="135"/>
    </row>
    <row r="305" spans="9:264">
      <c r="I305" s="22"/>
      <c r="J305" s="156" t="s">
        <v>989</v>
      </c>
      <c r="K305" s="156" t="s">
        <v>989</v>
      </c>
      <c r="L305" s="22">
        <v>12</v>
      </c>
      <c r="M305" s="22">
        <v>10</v>
      </c>
      <c r="N305" s="22">
        <v>7.5</v>
      </c>
      <c r="O305" s="22">
        <v>-22</v>
      </c>
      <c r="P305" s="22">
        <v>-37</v>
      </c>
      <c r="Q305" s="22">
        <v>-11</v>
      </c>
      <c r="R305" s="22" t="s">
        <v>990</v>
      </c>
      <c r="S305" s="23" t="s">
        <v>991</v>
      </c>
      <c r="AS305" s="3"/>
      <c r="BD305" s="97"/>
      <c r="DC305" s="182"/>
      <c r="DE305" s="1" t="s">
        <v>2947</v>
      </c>
      <c r="DF305" s="404">
        <f>IF(DF298&lt;40,DF298,0)</f>
        <v>0</v>
      </c>
      <c r="DG305" s="1" t="s">
        <v>2931</v>
      </c>
      <c r="DH305" s="405">
        <f t="shared" si="16"/>
        <v>0</v>
      </c>
      <c r="DI305" s="1" t="s">
        <v>2948</v>
      </c>
      <c r="DJ305" s="170">
        <f>IF(DH305&gt;0,30,0)</f>
        <v>0</v>
      </c>
      <c r="DK305" s="182"/>
      <c r="EL305" s="3"/>
      <c r="EM305" s="3"/>
      <c r="FK305" s="135"/>
      <c r="FN305" s="3"/>
      <c r="FO305" s="550"/>
      <c r="FP305" s="550" t="s">
        <v>3786</v>
      </c>
      <c r="FQ305" s="505"/>
      <c r="FR305" s="550" t="s">
        <v>3787</v>
      </c>
      <c r="FS305" s="550"/>
      <c r="FT305" s="3"/>
      <c r="HK305" s="170"/>
      <c r="HM305" s="191">
        <v>6</v>
      </c>
      <c r="IB305" s="170"/>
      <c r="IC305" s="405"/>
      <c r="ID305" s="527" t="s">
        <v>2661</v>
      </c>
      <c r="IE305" s="528" t="s">
        <v>2661</v>
      </c>
      <c r="IF305" s="37" t="s">
        <v>3789</v>
      </c>
      <c r="IG305" s="37"/>
      <c r="IH305" s="37"/>
      <c r="II305" s="1"/>
      <c r="IJ305" s="1"/>
      <c r="IK305" s="1"/>
      <c r="IL305" s="1"/>
      <c r="IM305" s="405"/>
      <c r="IN305" s="178"/>
      <c r="IO305" s="1"/>
      <c r="IP305" s="1" t="s">
        <v>3769</v>
      </c>
      <c r="IQ305" s="1">
        <f>IF(IR302&lt;100,IR302,0)</f>
        <v>0</v>
      </c>
      <c r="IR305" s="1"/>
      <c r="IS305" s="1"/>
      <c r="IT305" s="65">
        <v>1</v>
      </c>
      <c r="IU305" s="141"/>
      <c r="IV305" s="65">
        <v>0</v>
      </c>
      <c r="IW305" s="65">
        <v>0</v>
      </c>
      <c r="IX305" s="1"/>
      <c r="IY305" s="1"/>
      <c r="IZ305" s="1"/>
      <c r="JA305" s="1"/>
      <c r="JB305" s="1"/>
      <c r="JC305" s="178"/>
      <c r="JD305" s="135"/>
    </row>
    <row r="306" spans="9:264">
      <c r="I306" s="24" t="s">
        <v>992</v>
      </c>
      <c r="J306" s="157" t="s">
        <v>993</v>
      </c>
      <c r="K306" s="157" t="s">
        <v>993</v>
      </c>
      <c r="L306" s="24" t="s">
        <v>39</v>
      </c>
      <c r="M306" s="24" t="s">
        <v>992</v>
      </c>
      <c r="N306" s="24" t="s">
        <v>992</v>
      </c>
      <c r="O306" s="24" t="s">
        <v>40</v>
      </c>
      <c r="P306" s="24" t="s">
        <v>994</v>
      </c>
      <c r="Q306" s="24" t="s">
        <v>995</v>
      </c>
      <c r="R306" s="24" t="s">
        <v>996</v>
      </c>
      <c r="S306" s="24" t="s">
        <v>994</v>
      </c>
      <c r="AS306" s="3"/>
      <c r="BD306" s="97"/>
      <c r="DC306" s="182"/>
      <c r="DE306" s="1" t="s">
        <v>2949</v>
      </c>
      <c r="DF306" s="404">
        <f>IF(DF298&lt;30,DF298,0)</f>
        <v>0</v>
      </c>
      <c r="DG306" s="1" t="s">
        <v>2931</v>
      </c>
      <c r="DH306" s="405">
        <f t="shared" si="16"/>
        <v>0</v>
      </c>
      <c r="DI306" s="1" t="s">
        <v>2950</v>
      </c>
      <c r="DJ306" s="170">
        <f>IF(DH306&gt;0,20,0)</f>
        <v>0</v>
      </c>
      <c r="DK306" s="182"/>
      <c r="EL306" s="3"/>
      <c r="EM306" s="3"/>
      <c r="FK306" s="135"/>
      <c r="FN306" s="3"/>
      <c r="FO306" s="550"/>
      <c r="FP306" s="550" t="s">
        <v>3791</v>
      </c>
      <c r="FQ306" s="505"/>
      <c r="FR306" s="550" t="s">
        <v>18</v>
      </c>
      <c r="FS306" s="550"/>
      <c r="FT306" s="3"/>
      <c r="HK306" s="170"/>
      <c r="HM306" s="1" t="s">
        <v>3793</v>
      </c>
      <c r="IB306" s="170"/>
      <c r="IC306" s="405"/>
      <c r="ID306" s="527" t="s">
        <v>2409</v>
      </c>
      <c r="IE306" s="528" t="s">
        <v>2409</v>
      </c>
      <c r="IF306" s="37" t="s">
        <v>3794</v>
      </c>
      <c r="IG306" s="37"/>
      <c r="IH306" s="37"/>
      <c r="II306" s="1"/>
      <c r="IJ306" s="1"/>
      <c r="IK306" s="1"/>
      <c r="IL306" s="1"/>
      <c r="IM306" s="405"/>
      <c r="IN306" s="178"/>
      <c r="IO306" s="1"/>
      <c r="IP306" s="1" t="s">
        <v>3771</v>
      </c>
      <c r="IQ306" s="205">
        <f>IF(IQ305&lt;10,0,2)</f>
        <v>0</v>
      </c>
      <c r="IR306" s="1"/>
      <c r="IS306" s="1"/>
      <c r="IT306" s="65">
        <v>2</v>
      </c>
      <c r="IU306" s="141"/>
      <c r="IV306" s="65" t="str">
        <f>""</f>
        <v/>
      </c>
      <c r="IW306" s="65">
        <v>0</v>
      </c>
      <c r="IX306" s="1"/>
      <c r="IY306" s="1"/>
      <c r="IZ306" s="1"/>
      <c r="JA306" s="1"/>
      <c r="JB306" s="1"/>
      <c r="JC306" s="178"/>
      <c r="JD306" s="135"/>
    </row>
    <row r="307" spans="9:264">
      <c r="I307" s="24" t="s">
        <v>997</v>
      </c>
      <c r="J307" s="157" t="s">
        <v>998</v>
      </c>
      <c r="K307" s="157" t="s">
        <v>998</v>
      </c>
      <c r="L307" s="24" t="s">
        <v>39</v>
      </c>
      <c r="M307" s="24" t="s">
        <v>997</v>
      </c>
      <c r="N307" s="24" t="s">
        <v>997</v>
      </c>
      <c r="O307" s="24" t="s">
        <v>40</v>
      </c>
      <c r="P307" s="24" t="s">
        <v>999</v>
      </c>
      <c r="Q307" s="24" t="s">
        <v>1000</v>
      </c>
      <c r="R307" s="24" t="s">
        <v>1001</v>
      </c>
      <c r="S307" s="24" t="s">
        <v>999</v>
      </c>
      <c r="AS307" s="3"/>
      <c r="BD307" s="97"/>
      <c r="DC307" s="182"/>
      <c r="DE307" s="1" t="s">
        <v>2951</v>
      </c>
      <c r="DF307" s="404">
        <f>IF(DF298&lt;20,DF298,0)</f>
        <v>0</v>
      </c>
      <c r="DG307" s="1" t="s">
        <v>2931</v>
      </c>
      <c r="DH307" s="405">
        <f t="shared" si="16"/>
        <v>0</v>
      </c>
      <c r="DI307" s="1" t="s">
        <v>2952</v>
      </c>
      <c r="DJ307" s="170">
        <f>IF(DH307&gt;0,10,0)</f>
        <v>0</v>
      </c>
      <c r="DK307" s="182"/>
      <c r="EL307" s="3"/>
      <c r="EM307" s="3"/>
      <c r="FK307" s="135"/>
      <c r="FN307" s="3"/>
      <c r="FO307" s="550" t="s">
        <v>3795</v>
      </c>
      <c r="FP307" s="550"/>
      <c r="FQ307" s="512">
        <f>EV63</f>
        <v>0</v>
      </c>
      <c r="FR307" s="512">
        <f>EV64</f>
        <v>0</v>
      </c>
      <c r="FS307" s="550"/>
      <c r="FT307" s="3"/>
      <c r="HK307" s="170"/>
      <c r="HM307" s="1" t="s">
        <v>3671</v>
      </c>
      <c r="HN307" s="1">
        <f>IF(HN274=HM307,6,0)</f>
        <v>0</v>
      </c>
      <c r="IB307" s="170"/>
      <c r="IC307" s="405"/>
      <c r="ID307" s="527" t="s">
        <v>1114</v>
      </c>
      <c r="IE307" s="528" t="s">
        <v>1114</v>
      </c>
      <c r="IF307" s="37" t="s">
        <v>3796</v>
      </c>
      <c r="IG307" s="37"/>
      <c r="IH307" s="37"/>
      <c r="II307" s="1"/>
      <c r="IJ307" s="145"/>
      <c r="IK307" s="6"/>
      <c r="IL307" s="1"/>
      <c r="IM307" s="405"/>
      <c r="IN307" s="178"/>
      <c r="IO307" s="1"/>
      <c r="IP307" s="1" t="s">
        <v>3775</v>
      </c>
      <c r="IQ307" s="205">
        <f>IF(IR302&lt;100,0,IR302)</f>
        <v>0</v>
      </c>
      <c r="IR307" s="1"/>
      <c r="IS307" s="1"/>
      <c r="IT307" s="65">
        <v>3</v>
      </c>
      <c r="IU307" s="141"/>
      <c r="IV307" s="65" t="str">
        <f>""</f>
        <v/>
      </c>
      <c r="IW307" s="65" t="str">
        <f>""</f>
        <v/>
      </c>
      <c r="IX307" s="406">
        <f>IR302</f>
        <v>0</v>
      </c>
      <c r="IY307" s="1"/>
      <c r="IZ307" s="1"/>
      <c r="JA307" s="1"/>
      <c r="JB307" s="1"/>
      <c r="JC307" s="178"/>
      <c r="JD307" s="135"/>
    </row>
    <row r="308" spans="9:264">
      <c r="I308" s="22"/>
      <c r="J308" s="156" t="s">
        <v>1002</v>
      </c>
      <c r="K308" s="156" t="s">
        <v>1002</v>
      </c>
      <c r="L308" s="22">
        <v>2</v>
      </c>
      <c r="M308" s="22">
        <v>49</v>
      </c>
      <c r="N308" s="22">
        <v>59</v>
      </c>
      <c r="O308" s="22">
        <v>27</v>
      </c>
      <c r="P308" s="22">
        <v>15</v>
      </c>
      <c r="Q308" s="22">
        <v>38</v>
      </c>
      <c r="R308" s="22" t="s">
        <v>1003</v>
      </c>
      <c r="S308" s="22" t="s">
        <v>1004</v>
      </c>
      <c r="AS308" s="3"/>
      <c r="BD308" s="97"/>
      <c r="DC308" s="182"/>
      <c r="DE308" s="1" t="s">
        <v>2953</v>
      </c>
      <c r="DF308" s="404">
        <f>IF(DF298&lt;10,DF298,0)</f>
        <v>0</v>
      </c>
      <c r="DG308" s="1" t="s">
        <v>2932</v>
      </c>
      <c r="DH308" s="405">
        <f>DH299+DH300+DH301+DH302+DH303+DH304+DH305+DH306+DH307</f>
        <v>0</v>
      </c>
      <c r="DI308" s="1" t="s">
        <v>2932</v>
      </c>
      <c r="DJ308" s="170">
        <f>DJ299+DJ300+DJ301+DJ302+DJ303+DJ304+DJ305+DJ306+DJ307</f>
        <v>0</v>
      </c>
      <c r="DK308" s="182"/>
      <c r="EL308" s="3"/>
      <c r="EM308" s="3"/>
      <c r="FK308" s="135"/>
      <c r="FN308" s="3"/>
      <c r="FO308" s="550"/>
      <c r="FP308" s="550"/>
      <c r="FQ308" s="550"/>
      <c r="FR308" s="550" t="s">
        <v>2793</v>
      </c>
      <c r="FS308" s="550"/>
      <c r="FT308" s="3"/>
      <c r="HK308" s="170"/>
      <c r="HM308" s="1" t="s">
        <v>3798</v>
      </c>
      <c r="HN308" s="1">
        <f>IF(HN274=HM308,6,0)</f>
        <v>0</v>
      </c>
      <c r="IB308" s="170"/>
      <c r="IC308" s="405"/>
      <c r="ID308" s="527" t="s">
        <v>1086</v>
      </c>
      <c r="IE308" s="528" t="s">
        <v>1086</v>
      </c>
      <c r="IF308" s="37" t="s">
        <v>3799</v>
      </c>
      <c r="IG308" s="37"/>
      <c r="IH308" s="37"/>
      <c r="II308" s="1"/>
      <c r="IJ308" s="6"/>
      <c r="IK308" s="6"/>
      <c r="IL308" s="1"/>
      <c r="IM308" s="405"/>
      <c r="IN308" s="178"/>
      <c r="IO308" s="1"/>
      <c r="IP308" s="1" t="s">
        <v>3777</v>
      </c>
      <c r="IQ308" s="548">
        <f>IQ304+IQ306+IQ307</f>
        <v>0</v>
      </c>
      <c r="IR308" s="1"/>
      <c r="IS308" s="1"/>
      <c r="IT308" s="109">
        <f>IQ302</f>
        <v>0</v>
      </c>
      <c r="IU308" s="141" t="s">
        <v>2069</v>
      </c>
      <c r="IV308" s="65" t="str">
        <f>LOOKUP(IT303,(IT304:IT307),(IV304:IV307))</f>
        <v>κ</v>
      </c>
      <c r="IW308" s="65" t="str">
        <f>LOOKUP(IT303,(IT304:IT307),(IW304:IW307))</f>
        <v>κ</v>
      </c>
      <c r="IX308" s="118" t="str">
        <f>CONCATENATE(IT308,IU308,IV308,IW308,IX307)</f>
        <v>0 κκ0</v>
      </c>
      <c r="IY308" s="1"/>
      <c r="IZ308" s="1"/>
      <c r="JA308" s="1"/>
      <c r="JB308" s="1"/>
      <c r="JC308" s="178"/>
      <c r="JD308" s="135"/>
    </row>
    <row r="309" spans="9:264">
      <c r="I309" s="22"/>
      <c r="J309" s="156" t="s">
        <v>1005</v>
      </c>
      <c r="K309" s="156" t="s">
        <v>1005</v>
      </c>
      <c r="L309" s="22">
        <v>2</v>
      </c>
      <c r="M309" s="22">
        <v>7</v>
      </c>
      <c r="N309" s="22">
        <v>10.4</v>
      </c>
      <c r="O309" s="22">
        <v>23</v>
      </c>
      <c r="P309" s="22">
        <v>27</v>
      </c>
      <c r="Q309" s="22">
        <v>45</v>
      </c>
      <c r="R309" s="22" t="s">
        <v>1006</v>
      </c>
      <c r="S309" s="22" t="s">
        <v>1007</v>
      </c>
      <c r="AS309" s="3"/>
      <c r="BD309" s="97"/>
      <c r="DC309" s="182"/>
      <c r="DG309" s="1" t="s">
        <v>2934</v>
      </c>
      <c r="DH309" s="406">
        <f>DH308-DJ308</f>
        <v>0</v>
      </c>
      <c r="DK309" s="182"/>
      <c r="EL309" s="3"/>
      <c r="EM309" s="3"/>
      <c r="FK309" s="135"/>
      <c r="FN309" s="3"/>
      <c r="FO309" s="3"/>
      <c r="FP309" s="3"/>
      <c r="FQ309" s="3"/>
      <c r="FR309" s="3"/>
      <c r="FS309" s="3"/>
      <c r="FT309" s="3"/>
      <c r="HK309" s="170"/>
      <c r="HM309" s="1" t="s">
        <v>3801</v>
      </c>
      <c r="HN309" s="1">
        <f>IF(HN274=HM309,6,0)</f>
        <v>0</v>
      </c>
      <c r="IB309" s="170"/>
      <c r="IC309" s="405"/>
      <c r="ID309" s="527" t="s">
        <v>506</v>
      </c>
      <c r="IE309" s="528" t="s">
        <v>506</v>
      </c>
      <c r="IF309" s="37" t="s">
        <v>3802</v>
      </c>
      <c r="IG309" s="37"/>
      <c r="IH309" s="37"/>
      <c r="II309" s="1"/>
      <c r="IJ309" s="6"/>
      <c r="IK309" s="6" t="str">
        <f>IF(IK273=IL273,IL286,"")</f>
        <v/>
      </c>
      <c r="IL309" s="1"/>
      <c r="IM309" s="405"/>
      <c r="IN309" s="178"/>
      <c r="IO309" s="1"/>
      <c r="IP309" s="1"/>
      <c r="IQ309" s="1"/>
      <c r="IR309" s="1"/>
      <c r="IS309" s="1"/>
      <c r="IT309" s="1"/>
      <c r="IU309" s="1"/>
      <c r="IV309" s="1"/>
      <c r="IW309" s="1"/>
      <c r="IX309" s="1"/>
      <c r="IY309" s="1"/>
      <c r="IZ309" s="1"/>
      <c r="JA309" s="1"/>
      <c r="JB309" s="1"/>
      <c r="JC309" s="178"/>
      <c r="JD309" s="135"/>
    </row>
    <row r="310" spans="9:264">
      <c r="I310" s="22"/>
      <c r="J310" s="156" t="s">
        <v>1008</v>
      </c>
      <c r="K310" s="156" t="s">
        <v>1008</v>
      </c>
      <c r="L310" s="22">
        <v>1</v>
      </c>
      <c r="M310" s="22">
        <v>54</v>
      </c>
      <c r="N310" s="22">
        <v>38.4</v>
      </c>
      <c r="O310" s="22">
        <v>20</v>
      </c>
      <c r="P310" s="22">
        <v>48</v>
      </c>
      <c r="Q310" s="22">
        <v>29</v>
      </c>
      <c r="R310" s="22" t="s">
        <v>1009</v>
      </c>
      <c r="S310" s="22" t="s">
        <v>1010</v>
      </c>
      <c r="AS310" s="3"/>
      <c r="BD310" s="97"/>
      <c r="DC310" s="182"/>
      <c r="DD310" s="175"/>
      <c r="DE310" s="175" t="s">
        <v>3000</v>
      </c>
      <c r="DF310" s="65">
        <f>DF336</f>
        <v>0</v>
      </c>
      <c r="DH310" s="175"/>
      <c r="DK310" s="182"/>
      <c r="EL310" s="3"/>
      <c r="EM310" s="3"/>
      <c r="FK310" s="135"/>
      <c r="FN310" s="3"/>
      <c r="FO310" s="3"/>
      <c r="FP310" s="3"/>
      <c r="FQ310" s="3"/>
      <c r="FR310" s="3"/>
      <c r="FS310" s="3"/>
      <c r="FT310" s="3"/>
      <c r="HK310" s="170"/>
      <c r="HM310" s="1" t="s">
        <v>3688</v>
      </c>
      <c r="HN310" s="170">
        <f>HN307+HN308+HN309</f>
        <v>0</v>
      </c>
      <c r="IB310" s="170"/>
      <c r="IC310" s="405"/>
      <c r="ID310" s="527" t="s">
        <v>3803</v>
      </c>
      <c r="IE310" s="528" t="s">
        <v>3803</v>
      </c>
      <c r="IF310" s="37" t="s">
        <v>3804</v>
      </c>
      <c r="IG310" s="37"/>
      <c r="IH310" s="37"/>
      <c r="II310" s="1"/>
      <c r="IJ310" s="6"/>
      <c r="IK310" s="6"/>
      <c r="IL310" s="1"/>
      <c r="IM310" s="405"/>
      <c r="IN310" s="178"/>
      <c r="IO310" s="1"/>
      <c r="IP310" s="1"/>
      <c r="IQ310" s="1"/>
      <c r="IR310" s="1"/>
      <c r="IS310" s="1"/>
      <c r="IT310" s="1"/>
      <c r="IU310" s="1"/>
      <c r="IV310" s="1"/>
      <c r="IW310" s="1"/>
      <c r="IX310" s="1"/>
      <c r="IY310" s="1"/>
      <c r="IZ310" s="1"/>
      <c r="JA310" s="1"/>
      <c r="JB310" s="1"/>
      <c r="JC310" s="178"/>
      <c r="JD310" s="135"/>
    </row>
    <row r="311" spans="9:264">
      <c r="I311" s="22"/>
      <c r="J311" s="156" t="s">
        <v>1011</v>
      </c>
      <c r="K311" s="156" t="s">
        <v>1011</v>
      </c>
      <c r="L311" s="22">
        <v>1</v>
      </c>
      <c r="M311" s="22">
        <v>53</v>
      </c>
      <c r="N311" s="22">
        <v>31.8</v>
      </c>
      <c r="O311" s="22">
        <v>19</v>
      </c>
      <c r="P311" s="22">
        <v>17</v>
      </c>
      <c r="Q311" s="22">
        <v>38</v>
      </c>
      <c r="R311" s="22" t="s">
        <v>1012</v>
      </c>
      <c r="S311" s="22" t="s">
        <v>1013</v>
      </c>
      <c r="AS311" s="3"/>
      <c r="BD311" s="97"/>
      <c r="DC311" s="182"/>
      <c r="DE311" s="402" t="s">
        <v>3001</v>
      </c>
      <c r="DF311" s="195">
        <f>IF(DF310&lt;10,DF310,DH309)</f>
        <v>0</v>
      </c>
      <c r="DG311" s="403" t="s">
        <v>3002</v>
      </c>
      <c r="DH311" s="402"/>
      <c r="DI311" s="402"/>
      <c r="DJ311" s="402"/>
      <c r="DK311" s="182"/>
      <c r="EL311" s="3"/>
      <c r="EM311" s="3"/>
      <c r="FK311" s="135"/>
      <c r="FN311" s="567"/>
      <c r="FO311" s="6"/>
      <c r="FP311" s="131"/>
      <c r="FQ311" s="6"/>
      <c r="FR311" s="6"/>
      <c r="FS311" s="6"/>
      <c r="FT311" s="6"/>
      <c r="HK311" s="170"/>
      <c r="IB311" s="170"/>
      <c r="IC311" s="405"/>
      <c r="ID311" s="527" t="s">
        <v>1187</v>
      </c>
      <c r="IE311" s="528" t="s">
        <v>1187</v>
      </c>
      <c r="IF311" s="37" t="s">
        <v>3806</v>
      </c>
      <c r="IG311" s="37"/>
      <c r="IH311" s="37"/>
      <c r="II311" s="1"/>
      <c r="IJ311" s="6"/>
      <c r="IK311" s="6"/>
      <c r="IL311" s="1"/>
      <c r="IM311" s="405"/>
      <c r="IN311" s="178"/>
      <c r="IO311" s="1"/>
      <c r="IP311" s="1"/>
      <c r="IQ311" s="1"/>
      <c r="IR311" s="1"/>
      <c r="IS311" s="1"/>
      <c r="IT311" s="1"/>
      <c r="IU311" s="1"/>
      <c r="IV311" s="1"/>
      <c r="IW311" s="1"/>
      <c r="IX311" s="1"/>
      <c r="IY311" s="1"/>
      <c r="IZ311" s="1"/>
      <c r="JA311" s="1"/>
      <c r="JB311" s="1"/>
      <c r="JC311" s="178"/>
      <c r="JD311" s="135"/>
    </row>
    <row r="312" spans="9:264">
      <c r="I312" s="24" t="s">
        <v>1014</v>
      </c>
      <c r="J312" s="157" t="s">
        <v>1015</v>
      </c>
      <c r="K312" s="157" t="s">
        <v>1015</v>
      </c>
      <c r="L312" s="24" t="s">
        <v>39</v>
      </c>
      <c r="M312" s="24" t="s">
        <v>1016</v>
      </c>
      <c r="N312" s="24" t="s">
        <v>1017</v>
      </c>
      <c r="O312" s="24" t="s">
        <v>40</v>
      </c>
      <c r="P312" s="24" t="s">
        <v>1018</v>
      </c>
      <c r="Q312" s="24" t="s">
        <v>1019</v>
      </c>
      <c r="R312" s="24" t="s">
        <v>1020</v>
      </c>
      <c r="S312" s="27" t="s">
        <v>1018</v>
      </c>
      <c r="AS312" s="3"/>
      <c r="BD312" s="97"/>
      <c r="DC312" s="182"/>
      <c r="DE312" s="1" t="s">
        <v>2953</v>
      </c>
      <c r="DF312" s="404">
        <f>IF(DF311&lt;10,DF311,0)</f>
        <v>0</v>
      </c>
      <c r="DG312" s="1" t="s">
        <v>2931</v>
      </c>
      <c r="DH312" s="1">
        <f t="shared" ref="DH312:DH320" si="17">IF(DF313=0,DF312,0)</f>
        <v>0</v>
      </c>
      <c r="DI312" s="1" t="s">
        <v>2954</v>
      </c>
      <c r="DJ312" s="170">
        <f>IF(DH312&gt;0,9,0)</f>
        <v>0</v>
      </c>
      <c r="DK312" s="182"/>
      <c r="EL312" s="3"/>
      <c r="EM312" s="3"/>
      <c r="FK312" s="135"/>
      <c r="FN312" s="567"/>
      <c r="FO312" s="6"/>
      <c r="FP312" s="6"/>
      <c r="FQ312" s="6"/>
      <c r="FR312" s="6"/>
      <c r="FS312" s="6"/>
      <c r="FT312" s="6"/>
      <c r="HK312" s="170"/>
      <c r="HM312" s="1" t="s">
        <v>3808</v>
      </c>
      <c r="IB312" s="170"/>
      <c r="IC312" s="405"/>
      <c r="ID312" s="527" t="s">
        <v>1179</v>
      </c>
      <c r="IE312" s="528" t="s">
        <v>1179</v>
      </c>
      <c r="IF312" s="37" t="s">
        <v>3809</v>
      </c>
      <c r="IG312" s="37"/>
      <c r="IH312" s="37"/>
      <c r="II312" s="1"/>
      <c r="IL312" s="1"/>
      <c r="IM312" s="405"/>
      <c r="IN312" s="178"/>
      <c r="IO312" s="1"/>
      <c r="IP312" s="108" t="s">
        <v>3790</v>
      </c>
      <c r="IQ312" s="1"/>
      <c r="IR312" s="1"/>
      <c r="IS312" s="1"/>
      <c r="IT312" s="1"/>
      <c r="IU312" s="1"/>
      <c r="IV312" s="1"/>
      <c r="IW312" s="1"/>
      <c r="IX312" s="1"/>
      <c r="IY312" s="1"/>
      <c r="IZ312" s="1"/>
      <c r="JA312" s="1"/>
      <c r="JB312" s="1"/>
      <c r="JC312" s="178"/>
      <c r="JD312" s="135"/>
    </row>
    <row r="313" spans="9:264" ht="18.75">
      <c r="I313" s="22"/>
      <c r="J313" s="156" t="s">
        <v>1021</v>
      </c>
      <c r="K313" s="156" t="s">
        <v>1021</v>
      </c>
      <c r="L313" s="22">
        <v>12</v>
      </c>
      <c r="M313" s="22">
        <v>56</v>
      </c>
      <c r="N313" s="22">
        <v>1.7</v>
      </c>
      <c r="O313" s="22">
        <v>38</v>
      </c>
      <c r="P313" s="22">
        <v>19</v>
      </c>
      <c r="Q313" s="22">
        <v>6</v>
      </c>
      <c r="R313" s="22" t="s">
        <v>1022</v>
      </c>
      <c r="S313" s="23" t="s">
        <v>1023</v>
      </c>
      <c r="AI313" s="5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BD313" s="97"/>
      <c r="DC313" s="182"/>
      <c r="DE313" s="1" t="s">
        <v>2955</v>
      </c>
      <c r="DF313" s="404">
        <f>IF(DF311&lt;9,DF311,0)</f>
        <v>0</v>
      </c>
      <c r="DG313" s="1" t="s">
        <v>2931</v>
      </c>
      <c r="DH313" s="1">
        <f t="shared" si="17"/>
        <v>0</v>
      </c>
      <c r="DI313" s="1" t="s">
        <v>2956</v>
      </c>
      <c r="DJ313" s="170">
        <f>IF(DH313&gt;0,8,0)</f>
        <v>0</v>
      </c>
      <c r="DK313" s="182"/>
      <c r="EL313" s="3"/>
      <c r="EM313" s="3"/>
      <c r="FK313" s="135"/>
      <c r="FN313" s="6"/>
      <c r="FO313" s="513"/>
      <c r="FP313" s="568"/>
      <c r="FQ313" s="513"/>
      <c r="FR313" s="513"/>
      <c r="FS313" s="365"/>
      <c r="FT313" s="6"/>
      <c r="HK313" s="170"/>
      <c r="HM313" s="1" t="s">
        <v>3677</v>
      </c>
      <c r="HN313" s="1">
        <f>IF(HN274=HM313,7,0)</f>
        <v>0</v>
      </c>
      <c r="IB313" s="170"/>
      <c r="IC313" s="405"/>
      <c r="ID313" s="527" t="s">
        <v>1192</v>
      </c>
      <c r="IE313" s="528" t="s">
        <v>1192</v>
      </c>
      <c r="IF313" s="37" t="s">
        <v>3811</v>
      </c>
      <c r="IG313" s="37"/>
      <c r="IH313" s="37"/>
      <c r="II313" s="1"/>
      <c r="IJ313" s="1"/>
      <c r="IK313" s="1"/>
      <c r="IL313" s="1"/>
      <c r="IM313" s="405"/>
      <c r="IN313" s="178"/>
      <c r="IO313" s="1"/>
      <c r="IP313" s="1" t="s">
        <v>3741</v>
      </c>
      <c r="IQ313" s="1" t="b">
        <f>ISNUMBER(IQ282)</f>
        <v>1</v>
      </c>
      <c r="IR313" s="235" t="b">
        <v>0</v>
      </c>
      <c r="IS313" s="1"/>
      <c r="IT313" s="1"/>
      <c r="IU313" s="1"/>
      <c r="IV313" s="1"/>
      <c r="IW313" s="1"/>
      <c r="IX313" s="1"/>
      <c r="IY313" s="1"/>
      <c r="IZ313" s="1"/>
      <c r="JA313" s="1"/>
      <c r="JB313" s="1"/>
      <c r="JC313" s="178"/>
      <c r="JD313" s="135"/>
    </row>
    <row r="314" spans="9:264">
      <c r="I314" s="22"/>
      <c r="J314" s="156" t="s">
        <v>1024</v>
      </c>
      <c r="K314" s="156" t="s">
        <v>1024</v>
      </c>
      <c r="L314" s="22">
        <v>12</v>
      </c>
      <c r="M314" s="22">
        <v>33</v>
      </c>
      <c r="N314" s="22">
        <v>44.5</v>
      </c>
      <c r="O314" s="22">
        <v>41</v>
      </c>
      <c r="P314" s="22">
        <v>21</v>
      </c>
      <c r="Q314" s="22">
        <v>27</v>
      </c>
      <c r="R314" s="22" t="s">
        <v>1025</v>
      </c>
      <c r="S314" s="23" t="s">
        <v>1026</v>
      </c>
      <c r="AS314" s="3"/>
      <c r="BD314" s="97"/>
      <c r="DC314" s="182"/>
      <c r="DE314" s="1" t="s">
        <v>2957</v>
      </c>
      <c r="DF314" s="404">
        <f>IF(DF311&lt;8,DF311,0)</f>
        <v>0</v>
      </c>
      <c r="DG314" s="1" t="s">
        <v>2931</v>
      </c>
      <c r="DH314" s="1">
        <f t="shared" si="17"/>
        <v>0</v>
      </c>
      <c r="DI314" s="1" t="s">
        <v>2958</v>
      </c>
      <c r="DJ314" s="170">
        <f>IF(DH314&gt;0,7,0)</f>
        <v>0</v>
      </c>
      <c r="DK314" s="182"/>
      <c r="EL314" s="3"/>
      <c r="EM314" s="3"/>
      <c r="FK314" s="135"/>
      <c r="FN314" s="6"/>
      <c r="FO314" s="567"/>
      <c r="FP314" s="6"/>
      <c r="FQ314" s="6"/>
      <c r="FR314" s="6"/>
      <c r="FS314" s="6"/>
      <c r="FT314" s="6"/>
      <c r="HK314" s="170"/>
      <c r="HM314" s="1" t="s">
        <v>3813</v>
      </c>
      <c r="HN314" s="1">
        <f>IF(HN274=HM314,7,0)</f>
        <v>0</v>
      </c>
      <c r="IB314" s="170"/>
      <c r="IC314" s="405"/>
      <c r="ID314" s="527" t="s">
        <v>3814</v>
      </c>
      <c r="IE314" s="528" t="s">
        <v>3814</v>
      </c>
      <c r="IF314" s="37" t="s">
        <v>3815</v>
      </c>
      <c r="IG314" s="37"/>
      <c r="IH314" s="37"/>
      <c r="II314" s="1"/>
      <c r="IJ314" s="1"/>
      <c r="IK314" s="1"/>
      <c r="IL314" s="1"/>
      <c r="IM314" s="405"/>
      <c r="IN314" s="178"/>
      <c r="IO314" s="1"/>
      <c r="IP314" s="1" t="s">
        <v>3744</v>
      </c>
      <c r="IQ314" s="1">
        <f>IF(IQ313=IR313,0,IQ282)</f>
        <v>0</v>
      </c>
      <c r="IR314" s="1"/>
      <c r="IS314" s="1"/>
      <c r="IT314" s="1"/>
      <c r="IU314" s="1"/>
      <c r="IV314" s="1"/>
      <c r="IW314" s="1"/>
      <c r="IX314" s="1"/>
      <c r="IY314" s="1"/>
      <c r="IZ314" s="1"/>
      <c r="JA314" s="1"/>
      <c r="JB314" s="1"/>
      <c r="JC314" s="178"/>
      <c r="JD314" s="135"/>
    </row>
    <row r="315" spans="9:264">
      <c r="I315" s="24" t="s">
        <v>1027</v>
      </c>
      <c r="J315" s="157" t="s">
        <v>1028</v>
      </c>
      <c r="K315" s="157" t="s">
        <v>1028</v>
      </c>
      <c r="L315" s="24" t="s">
        <v>39</v>
      </c>
      <c r="M315" s="24" t="s">
        <v>1027</v>
      </c>
      <c r="N315" s="24" t="s">
        <v>1027</v>
      </c>
      <c r="O315" s="24" t="s">
        <v>40</v>
      </c>
      <c r="P315" s="24" t="s">
        <v>1029</v>
      </c>
      <c r="Q315" s="24" t="s">
        <v>1030</v>
      </c>
      <c r="R315" s="24" t="s">
        <v>1031</v>
      </c>
      <c r="S315" s="24" t="s">
        <v>1029</v>
      </c>
      <c r="AS315" s="3"/>
      <c r="BD315" s="97"/>
      <c r="DC315" s="182"/>
      <c r="DE315" s="1" t="s">
        <v>2959</v>
      </c>
      <c r="DF315" s="404">
        <f>IF(DF311&lt;7,DF311,0)</f>
        <v>0</v>
      </c>
      <c r="DG315" s="1" t="s">
        <v>2931</v>
      </c>
      <c r="DH315" s="1">
        <f t="shared" si="17"/>
        <v>0</v>
      </c>
      <c r="DI315" s="1" t="s">
        <v>2960</v>
      </c>
      <c r="DJ315" s="170">
        <f>IF(DH315&gt;0,6,0)</f>
        <v>0</v>
      </c>
      <c r="DK315" s="182"/>
      <c r="EL315" s="3"/>
      <c r="EM315" s="3"/>
      <c r="FK315" s="135"/>
      <c r="FN315" s="6"/>
      <c r="FO315" s="6"/>
      <c r="FP315" s="6"/>
      <c r="FQ315" s="6"/>
      <c r="FR315" s="6"/>
      <c r="FS315" s="6"/>
      <c r="FT315" s="6"/>
      <c r="HK315" s="170"/>
      <c r="HM315" s="1" t="s">
        <v>3817</v>
      </c>
      <c r="HN315" s="1">
        <f>IF(HN274=HM315,7,0)</f>
        <v>0</v>
      </c>
      <c r="IB315" s="170"/>
      <c r="IC315" s="405"/>
      <c r="ID315" s="527" t="s">
        <v>1533</v>
      </c>
      <c r="IE315" s="528" t="s">
        <v>1533</v>
      </c>
      <c r="IF315" s="37" t="s">
        <v>3818</v>
      </c>
      <c r="IG315" s="37"/>
      <c r="IH315" s="37"/>
      <c r="II315" s="1"/>
      <c r="IJ315" s="1"/>
      <c r="IK315" s="1"/>
      <c r="IL315" s="1"/>
      <c r="IM315" s="405"/>
      <c r="IN315" s="178"/>
      <c r="IO315" s="1"/>
      <c r="IP315" s="1"/>
      <c r="IQ315" s="1" t="s">
        <v>3634</v>
      </c>
      <c r="IR315" s="1" t="s">
        <v>3800</v>
      </c>
      <c r="IS315" s="1"/>
      <c r="IT315" s="1"/>
      <c r="IU315" s="1"/>
      <c r="IV315" s="1"/>
      <c r="IW315" s="1"/>
      <c r="IX315" s="1"/>
      <c r="IY315" s="1"/>
      <c r="IZ315" s="1"/>
      <c r="JA315" s="1"/>
      <c r="JB315" s="1"/>
      <c r="JC315" s="178"/>
      <c r="JD315" s="135"/>
    </row>
    <row r="316" spans="9:264">
      <c r="I316" s="22"/>
      <c r="J316" s="156" t="s">
        <v>1032</v>
      </c>
      <c r="K316" s="156" t="s">
        <v>1032</v>
      </c>
      <c r="L316" s="22">
        <v>20</v>
      </c>
      <c r="M316" s="22">
        <v>45</v>
      </c>
      <c r="N316" s="22">
        <v>39.799999999999997</v>
      </c>
      <c r="O316" s="22">
        <v>30</v>
      </c>
      <c r="P316" s="22">
        <v>43</v>
      </c>
      <c r="Q316" s="22">
        <v>11</v>
      </c>
      <c r="R316" s="22" t="s">
        <v>1033</v>
      </c>
      <c r="S316" s="22" t="s">
        <v>1034</v>
      </c>
      <c r="AS316" s="3"/>
      <c r="BD316" s="97"/>
      <c r="DC316" s="182"/>
      <c r="DE316" s="1" t="s">
        <v>2961</v>
      </c>
      <c r="DF316" s="404">
        <f>IF(DF311&lt;6,DF311,0)</f>
        <v>0</v>
      </c>
      <c r="DG316" s="1" t="s">
        <v>2931</v>
      </c>
      <c r="DH316" s="1">
        <f t="shared" si="17"/>
        <v>0</v>
      </c>
      <c r="DI316" s="1" t="s">
        <v>2962</v>
      </c>
      <c r="DJ316" s="170">
        <f>IF(DH316&gt;0,5,0)</f>
        <v>0</v>
      </c>
      <c r="DK316" s="182"/>
      <c r="EL316" s="3"/>
      <c r="EM316" s="3"/>
      <c r="FK316" s="135"/>
      <c r="HK316" s="170"/>
      <c r="HM316" s="1" t="s">
        <v>3688</v>
      </c>
      <c r="HN316" s="170">
        <f>HN313+HN314+HN315</f>
        <v>0</v>
      </c>
      <c r="IB316" s="170"/>
      <c r="IC316" s="405"/>
      <c r="ID316" s="527" t="s">
        <v>353</v>
      </c>
      <c r="IE316" s="528" t="s">
        <v>353</v>
      </c>
      <c r="IF316" s="37" t="s">
        <v>3820</v>
      </c>
      <c r="IG316" s="37"/>
      <c r="IH316" s="37"/>
      <c r="II316" s="1"/>
      <c r="IJ316" s="1"/>
      <c r="IK316" s="1"/>
      <c r="IL316" s="1"/>
      <c r="IM316" s="405"/>
      <c r="IN316" s="178"/>
      <c r="IO316" s="1"/>
      <c r="IP316" s="1"/>
      <c r="IQ316" s="187">
        <f>IQ281</f>
        <v>0</v>
      </c>
      <c r="IR316" s="190">
        <f>IQ314</f>
        <v>0</v>
      </c>
      <c r="IS316" s="1"/>
      <c r="IT316" s="1"/>
      <c r="IU316" s="1"/>
      <c r="IV316" s="1"/>
      <c r="IW316" s="1"/>
      <c r="IX316" s="1"/>
      <c r="IY316" s="1"/>
      <c r="IZ316" s="1"/>
      <c r="JA316" s="1"/>
      <c r="JB316" s="1"/>
      <c r="JC316" s="178"/>
      <c r="JD316" s="135"/>
    </row>
    <row r="317" spans="9:264">
      <c r="I317" s="22"/>
      <c r="J317" s="156" t="s">
        <v>1035</v>
      </c>
      <c r="K317" s="156" t="s">
        <v>1035</v>
      </c>
      <c r="L317" s="22">
        <v>21</v>
      </c>
      <c r="M317" s="22">
        <v>6</v>
      </c>
      <c r="N317" s="22">
        <v>54.6</v>
      </c>
      <c r="O317" s="22">
        <v>38</v>
      </c>
      <c r="P317" s="22">
        <v>44</v>
      </c>
      <c r="Q317" s="22">
        <v>45</v>
      </c>
      <c r="R317" s="22" t="s">
        <v>1036</v>
      </c>
      <c r="S317" s="22" t="s">
        <v>1037</v>
      </c>
      <c r="AS317" s="3"/>
      <c r="BD317" s="97"/>
      <c r="DC317" s="182"/>
      <c r="DE317" s="1" t="s">
        <v>2963</v>
      </c>
      <c r="DF317" s="404">
        <f>IF(DF311&lt;5,DF311,0)</f>
        <v>0</v>
      </c>
      <c r="DG317" s="1" t="s">
        <v>2931</v>
      </c>
      <c r="DH317" s="1">
        <f t="shared" si="17"/>
        <v>0</v>
      </c>
      <c r="DI317" s="1" t="s">
        <v>2964</v>
      </c>
      <c r="DJ317" s="170">
        <f>IF(DH317&gt;0,4,0)</f>
        <v>0</v>
      </c>
      <c r="DK317" s="182"/>
      <c r="EL317" s="3"/>
      <c r="EM317" s="3"/>
      <c r="FK317" s="135"/>
      <c r="HK317" s="170"/>
      <c r="HM317" s="191">
        <v>8</v>
      </c>
      <c r="IB317" s="170"/>
      <c r="IC317" s="405"/>
      <c r="ID317" s="527" t="s">
        <v>2193</v>
      </c>
      <c r="IE317" s="528" t="s">
        <v>2193</v>
      </c>
      <c r="IF317" s="37" t="s">
        <v>3822</v>
      </c>
      <c r="IG317" s="37"/>
      <c r="IH317" s="37"/>
      <c r="II317" s="1"/>
      <c r="IJ317" s="1"/>
      <c r="IK317" s="1"/>
      <c r="IL317" s="1"/>
      <c r="IM317" s="405"/>
      <c r="IN317" s="178"/>
      <c r="IO317" s="1"/>
      <c r="IP317" s="1" t="s">
        <v>3761</v>
      </c>
      <c r="IQ317" s="1">
        <f>IF(IR316&lt;10,IR316,0)</f>
        <v>0</v>
      </c>
      <c r="IR317" s="1"/>
      <c r="IS317" s="1"/>
      <c r="IT317" s="547">
        <f>IQ324</f>
        <v>0</v>
      </c>
      <c r="IU317" s="1"/>
      <c r="IV317" s="1"/>
      <c r="IW317" s="1"/>
      <c r="IX317" s="1"/>
      <c r="IY317" s="1"/>
      <c r="IZ317" s="1"/>
      <c r="JA317" s="1"/>
      <c r="JB317" s="1"/>
      <c r="JC317" s="178"/>
      <c r="JD317" s="135"/>
    </row>
    <row r="318" spans="9:264">
      <c r="I318" s="22"/>
      <c r="J318" s="156" t="s">
        <v>1038</v>
      </c>
      <c r="K318" s="156" t="s">
        <v>1038</v>
      </c>
      <c r="L318" s="22">
        <v>20</v>
      </c>
      <c r="M318" s="22">
        <v>41</v>
      </c>
      <c r="N318" s="22">
        <v>25.9</v>
      </c>
      <c r="O318" s="22">
        <v>45</v>
      </c>
      <c r="P318" s="22">
        <v>16</v>
      </c>
      <c r="Q318" s="22">
        <v>49</v>
      </c>
      <c r="R318" s="22" t="s">
        <v>1039</v>
      </c>
      <c r="S318" s="22" t="s">
        <v>1040</v>
      </c>
      <c r="AS318" s="3"/>
      <c r="BD318" s="97"/>
      <c r="DC318" s="182"/>
      <c r="DE318" s="1" t="s">
        <v>2965</v>
      </c>
      <c r="DF318" s="404">
        <f>IF(DF311&lt;4,DF311,0)</f>
        <v>0</v>
      </c>
      <c r="DG318" s="1" t="s">
        <v>2931</v>
      </c>
      <c r="DH318" s="1">
        <f t="shared" si="17"/>
        <v>0</v>
      </c>
      <c r="DI318" s="1" t="s">
        <v>2966</v>
      </c>
      <c r="DJ318" s="170">
        <f>IF(DH318&gt;0,3,0)</f>
        <v>0</v>
      </c>
      <c r="DK318" s="182"/>
      <c r="EL318" s="3"/>
      <c r="EM318" s="3"/>
      <c r="FK318" s="135"/>
      <c r="FO318" s="200"/>
      <c r="HK318" s="170"/>
      <c r="HM318" s="1" t="s">
        <v>3824</v>
      </c>
      <c r="IB318" s="170"/>
      <c r="IC318" s="405"/>
      <c r="ID318" s="527" t="s">
        <v>2711</v>
      </c>
      <c r="IE318" s="528" t="s">
        <v>2711</v>
      </c>
      <c r="IF318" s="37" t="s">
        <v>3825</v>
      </c>
      <c r="IG318" s="37"/>
      <c r="IH318" s="37"/>
      <c r="II318" s="1"/>
      <c r="IJ318" s="1"/>
      <c r="IK318" s="1"/>
      <c r="IL318" s="1"/>
      <c r="IM318" s="405"/>
      <c r="IN318" s="178"/>
      <c r="IO318" s="1"/>
      <c r="IP318" s="1" t="s">
        <v>3766</v>
      </c>
      <c r="IQ318" s="205">
        <f>IF(IQ317&gt;0,1,0)</f>
        <v>0</v>
      </c>
      <c r="IR318" s="1"/>
      <c r="IS318" s="1"/>
      <c r="IT318" s="65">
        <v>0</v>
      </c>
      <c r="IU318" s="141"/>
      <c r="IV318" s="65" t="s">
        <v>3694</v>
      </c>
      <c r="IW318" s="65" t="s">
        <v>3694</v>
      </c>
      <c r="IX318" s="65" t="s">
        <v>3694</v>
      </c>
      <c r="IY318" s="1"/>
      <c r="IZ318" s="1"/>
      <c r="JA318" s="1"/>
      <c r="JB318" s="1"/>
      <c r="JC318" s="178"/>
      <c r="JD318" s="135"/>
    </row>
    <row r="319" spans="9:264">
      <c r="I319" s="22"/>
      <c r="J319" s="156" t="s">
        <v>1041</v>
      </c>
      <c r="K319" s="156" t="s">
        <v>1041</v>
      </c>
      <c r="L319" s="22">
        <v>19</v>
      </c>
      <c r="M319" s="22">
        <v>30</v>
      </c>
      <c r="N319" s="22">
        <v>43.3</v>
      </c>
      <c r="O319" s="22">
        <v>27</v>
      </c>
      <c r="P319" s="22">
        <v>57</v>
      </c>
      <c r="Q319" s="22">
        <v>35</v>
      </c>
      <c r="R319" s="22" t="s">
        <v>1042</v>
      </c>
      <c r="S319" s="22" t="s">
        <v>1043</v>
      </c>
      <c r="AS319" s="3"/>
      <c r="BD319" s="97"/>
      <c r="DC319" s="182"/>
      <c r="DE319" s="1" t="s">
        <v>2967</v>
      </c>
      <c r="DF319" s="404">
        <f>IF(DF311&lt;3,DF311,0)</f>
        <v>0</v>
      </c>
      <c r="DG319" s="1" t="s">
        <v>2931</v>
      </c>
      <c r="DH319" s="1">
        <f t="shared" si="17"/>
        <v>0</v>
      </c>
      <c r="DI319" s="1" t="s">
        <v>2968</v>
      </c>
      <c r="DJ319" s="170">
        <f>IF(DH319&gt;0,2,0)</f>
        <v>0</v>
      </c>
      <c r="DK319" s="182"/>
      <c r="EL319" s="3"/>
      <c r="EM319" s="3"/>
      <c r="FK319" s="135"/>
      <c r="HK319" s="170"/>
      <c r="HM319" s="1" t="s">
        <v>3682</v>
      </c>
      <c r="HN319" s="1">
        <f>IF(HN274=HM319,8,0)</f>
        <v>0</v>
      </c>
      <c r="IB319" s="170"/>
      <c r="IC319" s="405"/>
      <c r="ID319" s="527" t="s">
        <v>2328</v>
      </c>
      <c r="IE319" s="528" t="s">
        <v>2328</v>
      </c>
      <c r="IF319" s="37" t="s">
        <v>3826</v>
      </c>
      <c r="IG319" s="37"/>
      <c r="IH319" s="37"/>
      <c r="II319" s="1"/>
      <c r="IJ319" s="1"/>
      <c r="IK319" s="1"/>
      <c r="IL319" s="1"/>
      <c r="IM319" s="405"/>
      <c r="IN319" s="178"/>
      <c r="IO319" s="1"/>
      <c r="IP319" s="1" t="s">
        <v>3769</v>
      </c>
      <c r="IQ319" s="1">
        <f>IF(IR316&lt;100,IR316,0)</f>
        <v>0</v>
      </c>
      <c r="IR319" s="1"/>
      <c r="IS319" s="1"/>
      <c r="IT319" s="65">
        <v>1</v>
      </c>
      <c r="IU319" s="141"/>
      <c r="IV319" s="65">
        <v>0</v>
      </c>
      <c r="IW319" s="65">
        <v>0</v>
      </c>
      <c r="IX319" s="65">
        <v>0</v>
      </c>
      <c r="IY319" s="1"/>
      <c r="IZ319" s="1"/>
      <c r="JA319" s="1"/>
      <c r="JB319" s="1"/>
      <c r="JC319" s="178"/>
      <c r="JD319" s="135"/>
    </row>
    <row r="320" spans="9:264">
      <c r="I320" s="22"/>
      <c r="J320" s="156" t="s">
        <v>1044</v>
      </c>
      <c r="K320" s="156" t="s">
        <v>1044</v>
      </c>
      <c r="L320" s="22">
        <v>20</v>
      </c>
      <c r="M320" s="22">
        <v>22</v>
      </c>
      <c r="N320" s="22">
        <v>13.7</v>
      </c>
      <c r="O320" s="22">
        <v>40</v>
      </c>
      <c r="P320" s="22">
        <v>15</v>
      </c>
      <c r="Q320" s="22">
        <v>24</v>
      </c>
      <c r="R320" s="22" t="s">
        <v>1045</v>
      </c>
      <c r="S320" s="22" t="s">
        <v>1046</v>
      </c>
      <c r="AS320" s="3"/>
      <c r="BD320" s="97"/>
      <c r="DC320" s="182"/>
      <c r="DE320" s="1" t="s">
        <v>2969</v>
      </c>
      <c r="DF320" s="404">
        <f>IF(DF311&lt;2,DF311,0)</f>
        <v>0</v>
      </c>
      <c r="DG320" s="1" t="s">
        <v>2931</v>
      </c>
      <c r="DH320" s="1">
        <f t="shared" si="17"/>
        <v>0</v>
      </c>
      <c r="DI320" s="1" t="s">
        <v>2970</v>
      </c>
      <c r="DJ320" s="170">
        <f>IF(DH320&gt;0,1,0)</f>
        <v>0</v>
      </c>
      <c r="DK320" s="182"/>
      <c r="EL320" s="3"/>
      <c r="EM320" s="3"/>
      <c r="FK320" s="135"/>
      <c r="HK320" s="170"/>
      <c r="HM320" s="1" t="s">
        <v>3827</v>
      </c>
      <c r="HN320" s="1">
        <f>IF(HN274=HM320,8,0)</f>
        <v>0</v>
      </c>
      <c r="IB320" s="170"/>
      <c r="IC320" s="405"/>
      <c r="ID320" s="527" t="s">
        <v>2287</v>
      </c>
      <c r="IE320" s="528" t="s">
        <v>2287</v>
      </c>
      <c r="IF320" s="37" t="s">
        <v>3828</v>
      </c>
      <c r="IG320" s="37"/>
      <c r="IH320" s="37"/>
      <c r="II320" s="1"/>
      <c r="IJ320" s="1"/>
      <c r="IK320" s="1"/>
      <c r="IL320" s="1"/>
      <c r="IM320" s="405"/>
      <c r="IN320" s="178"/>
      <c r="IO320" s="1"/>
      <c r="IP320" s="1" t="s">
        <v>3771</v>
      </c>
      <c r="IQ320" s="205">
        <f>IF(IQ319&lt;10,0,2)</f>
        <v>0</v>
      </c>
      <c r="IR320" s="1"/>
      <c r="IS320" s="1"/>
      <c r="IT320" s="65">
        <v>2</v>
      </c>
      <c r="IU320" s="141"/>
      <c r="IV320" s="65" t="str">
        <f>""</f>
        <v/>
      </c>
      <c r="IW320" s="65">
        <v>0</v>
      </c>
      <c r="IX320" s="65">
        <v>0</v>
      </c>
      <c r="IY320" s="1"/>
      <c r="IZ320" s="1"/>
      <c r="JA320" s="1"/>
      <c r="JB320" s="1"/>
      <c r="JC320" s="178"/>
      <c r="JD320" s="135"/>
    </row>
    <row r="321" spans="9:264">
      <c r="I321" s="22"/>
      <c r="J321" s="156" t="s">
        <v>1047</v>
      </c>
      <c r="K321" s="156" t="s">
        <v>1047</v>
      </c>
      <c r="L321" s="22">
        <v>19</v>
      </c>
      <c r="M321" s="22">
        <v>44</v>
      </c>
      <c r="N321" s="22">
        <v>58.5</v>
      </c>
      <c r="O321" s="22">
        <v>45</v>
      </c>
      <c r="P321" s="22">
        <v>7</v>
      </c>
      <c r="Q321" s="22">
        <v>51</v>
      </c>
      <c r="R321" s="22" t="s">
        <v>1048</v>
      </c>
      <c r="S321" s="22" t="s">
        <v>1049</v>
      </c>
      <c r="V321" s="5"/>
      <c r="W321" s="5"/>
      <c r="X321" s="283" t="s">
        <v>3101</v>
      </c>
      <c r="Y321" s="5"/>
      <c r="Z321" s="342"/>
      <c r="AA321" s="5"/>
      <c r="AB321" s="5"/>
      <c r="AC321" s="5"/>
      <c r="AD321" s="5"/>
      <c r="AE321" s="5"/>
      <c r="AF321" s="5"/>
      <c r="AG321" s="5"/>
      <c r="AS321" s="3"/>
      <c r="BD321" s="97"/>
      <c r="DC321" s="182"/>
      <c r="DE321" s="1" t="s">
        <v>2971</v>
      </c>
      <c r="DF321" s="404">
        <f>IF(DF311&lt;1,DF311,0)</f>
        <v>0</v>
      </c>
      <c r="DG321" s="1" t="s">
        <v>2972</v>
      </c>
      <c r="DH321" s="406">
        <f>DF311-DJ321</f>
        <v>0</v>
      </c>
      <c r="DI321" s="1" t="s">
        <v>2973</v>
      </c>
      <c r="DJ321" s="406">
        <f>DJ312+DJ313+DJ314+DJ315+DJ316+DJ317+DJ318+DJ319+DJ320</f>
        <v>0</v>
      </c>
      <c r="DK321" s="182"/>
      <c r="EL321" s="3"/>
      <c r="EM321" s="3"/>
      <c r="FK321" s="135"/>
      <c r="HK321" s="170"/>
      <c r="HM321" s="1" t="s">
        <v>3830</v>
      </c>
      <c r="HN321" s="1">
        <f>IF(HN274=HM321,8,0)</f>
        <v>0</v>
      </c>
      <c r="IB321" s="170"/>
      <c r="IC321" s="405"/>
      <c r="ID321" s="527" t="s">
        <v>2693</v>
      </c>
      <c r="IE321" s="528" t="s">
        <v>2693</v>
      </c>
      <c r="IF321" s="37" t="s">
        <v>3831</v>
      </c>
      <c r="IG321" s="37"/>
      <c r="IH321" s="37"/>
      <c r="II321" s="1"/>
      <c r="IJ321" s="1"/>
      <c r="IK321" s="1"/>
      <c r="IL321" s="1"/>
      <c r="IM321" s="405"/>
      <c r="IN321" s="178"/>
      <c r="IO321" s="1"/>
      <c r="IP321" s="1" t="s">
        <v>3816</v>
      </c>
      <c r="IQ321" s="1">
        <f>IF(IR316&lt;1000,IR316,0)</f>
        <v>0</v>
      </c>
      <c r="IR321" s="1"/>
      <c r="IS321" s="1"/>
      <c r="IT321" s="65">
        <v>3</v>
      </c>
      <c r="IU321" s="141"/>
      <c r="IV321" s="65" t="str">
        <f>""</f>
        <v/>
      </c>
      <c r="IW321" s="65" t="str">
        <f>""</f>
        <v/>
      </c>
      <c r="IX321" s="65">
        <v>0</v>
      </c>
      <c r="IY321" s="1"/>
      <c r="IZ321" s="1"/>
      <c r="JA321" s="1"/>
      <c r="JB321" s="1"/>
      <c r="JC321" s="178"/>
      <c r="JD321" s="135"/>
    </row>
    <row r="322" spans="9:264">
      <c r="I322" s="22"/>
      <c r="J322" s="156" t="s">
        <v>1050</v>
      </c>
      <c r="K322" s="156" t="s">
        <v>1050</v>
      </c>
      <c r="L322" s="22">
        <v>20</v>
      </c>
      <c r="M322" s="22">
        <v>46</v>
      </c>
      <c r="N322" s="22">
        <v>12.7</v>
      </c>
      <c r="O322" s="22">
        <v>33</v>
      </c>
      <c r="P322" s="22">
        <v>58</v>
      </c>
      <c r="Q322" s="22">
        <v>13</v>
      </c>
      <c r="R322" s="22" t="s">
        <v>1051</v>
      </c>
      <c r="S322" s="22" t="s">
        <v>1052</v>
      </c>
      <c r="AS322" s="3"/>
      <c r="BD322" s="97"/>
      <c r="DC322" s="182"/>
      <c r="DD322" s="175"/>
      <c r="DE322" s="175"/>
      <c r="DF322" s="175"/>
      <c r="DG322" s="108" t="s">
        <v>2975</v>
      </c>
      <c r="DH322" s="175"/>
      <c r="DI322" s="175"/>
      <c r="DJ322" s="175"/>
      <c r="DK322" s="182"/>
      <c r="EL322" s="3"/>
      <c r="EM322" s="3"/>
      <c r="FK322" s="135"/>
      <c r="HK322" s="170"/>
      <c r="HM322" s="1" t="s">
        <v>3833</v>
      </c>
      <c r="HN322" s="1">
        <f>IF(HN274=HM322,8,0)</f>
        <v>0</v>
      </c>
      <c r="IB322" s="170"/>
      <c r="IC322" s="405"/>
      <c r="ID322" s="527" t="s">
        <v>726</v>
      </c>
      <c r="IE322" s="528" t="s">
        <v>726</v>
      </c>
      <c r="IF322" s="37" t="s">
        <v>3834</v>
      </c>
      <c r="IG322" s="37"/>
      <c r="IH322" s="37"/>
      <c r="II322" s="1"/>
      <c r="IJ322" s="1"/>
      <c r="IK322" s="1"/>
      <c r="IL322" s="1"/>
      <c r="IM322" s="405"/>
      <c r="IN322" s="178"/>
      <c r="IO322" s="1"/>
      <c r="IP322" s="1" t="s">
        <v>3775</v>
      </c>
      <c r="IQ322" s="205">
        <f>IF(IQ321&lt;100,0,3)</f>
        <v>0</v>
      </c>
      <c r="IR322" s="1"/>
      <c r="IS322" s="1"/>
      <c r="IT322" s="65">
        <v>4</v>
      </c>
      <c r="IU322" s="141"/>
      <c r="IV322" s="65" t="str">
        <f>""</f>
        <v/>
      </c>
      <c r="IW322" s="65" t="str">
        <f>""</f>
        <v/>
      </c>
      <c r="IX322" s="65" t="str">
        <f>""</f>
        <v/>
      </c>
      <c r="IY322" s="190">
        <f>IR316</f>
        <v>0</v>
      </c>
      <c r="IZ322" s="1"/>
      <c r="JA322" s="1"/>
      <c r="JB322" s="1"/>
      <c r="JC322" s="178"/>
      <c r="JD322" s="135"/>
    </row>
    <row r="323" spans="9:264">
      <c r="I323" s="22"/>
      <c r="J323" s="156" t="s">
        <v>1053</v>
      </c>
      <c r="K323" s="156" t="s">
        <v>1053</v>
      </c>
      <c r="L323" s="22">
        <v>21</v>
      </c>
      <c r="M323" s="22">
        <v>12</v>
      </c>
      <c r="N323" s="22">
        <v>56.2</v>
      </c>
      <c r="O323" s="22">
        <v>30</v>
      </c>
      <c r="P323" s="22">
        <v>13</v>
      </c>
      <c r="Q323" s="22">
        <v>37</v>
      </c>
      <c r="R323" s="22" t="s">
        <v>1054</v>
      </c>
      <c r="S323" s="22" t="s">
        <v>1055</v>
      </c>
      <c r="AS323" s="3"/>
      <c r="BD323" s="97"/>
      <c r="DC323" s="182"/>
      <c r="DD323" s="189" t="s">
        <v>2984</v>
      </c>
      <c r="DG323" s="1" t="s">
        <v>3003</v>
      </c>
      <c r="DH323" s="1">
        <f>IF(DH321&lt;0.000000001,0,DH321)</f>
        <v>0</v>
      </c>
      <c r="DK323" s="182"/>
      <c r="EL323" s="3"/>
      <c r="EM323" s="3"/>
      <c r="FK323" s="135"/>
      <c r="HK323" s="170"/>
      <c r="HM323" s="1" t="s">
        <v>3835</v>
      </c>
      <c r="HN323" s="1">
        <f>IF(HN274=HM323,8,0)</f>
        <v>0</v>
      </c>
      <c r="IB323" s="170"/>
      <c r="IC323" s="405"/>
      <c r="ID323" s="527" t="s">
        <v>677</v>
      </c>
      <c r="IE323" s="528" t="s">
        <v>677</v>
      </c>
      <c r="IF323" s="37" t="s">
        <v>3836</v>
      </c>
      <c r="IG323" s="37"/>
      <c r="IH323" s="37"/>
      <c r="II323" s="1"/>
      <c r="IJ323" s="1"/>
      <c r="IK323" s="1"/>
      <c r="IL323" s="1"/>
      <c r="IM323" s="405"/>
      <c r="IN323" s="178"/>
      <c r="IO323" s="1"/>
      <c r="IP323" s="1" t="s">
        <v>3821</v>
      </c>
      <c r="IQ323" s="205">
        <f>IF(IR316&lt;1000,0,4)</f>
        <v>0</v>
      </c>
      <c r="IR323" s="1"/>
      <c r="IS323" s="1"/>
      <c r="IT323" s="187">
        <f>IQ316</f>
        <v>0</v>
      </c>
      <c r="IU323" s="141" t="s">
        <v>2069</v>
      </c>
      <c r="IV323" s="65" t="str">
        <f>LOOKUP(IT317,(IT318:IT322),(IV318:IV322))</f>
        <v>κ</v>
      </c>
      <c r="IW323" s="65" t="str">
        <f>LOOKUP(IT317,(IT318:IT322),(IW318:IW322))</f>
        <v>κ</v>
      </c>
      <c r="IX323" s="65" t="str">
        <f>LOOKUP(IT317,(IT318:IT322),(IX318:IX322))</f>
        <v>κ</v>
      </c>
      <c r="IY323" s="118" t="str">
        <f>CONCATENATE(IT323,IU323,IV323,IW323,IX323,IY322)</f>
        <v>0 κκκ0</v>
      </c>
      <c r="IZ323" s="1"/>
      <c r="JA323" s="1"/>
      <c r="JB323" s="1"/>
      <c r="JC323" s="178"/>
      <c r="JD323" s="135"/>
    </row>
    <row r="324" spans="9:264">
      <c r="I324" s="22"/>
      <c r="J324" s="156" t="s">
        <v>1056</v>
      </c>
      <c r="K324" s="156" t="s">
        <v>1056</v>
      </c>
      <c r="L324" s="22">
        <v>19</v>
      </c>
      <c r="M324" s="22">
        <v>56</v>
      </c>
      <c r="N324" s="22">
        <v>18.399999999999999</v>
      </c>
      <c r="O324" s="22">
        <v>35</v>
      </c>
      <c r="P324" s="22">
        <v>5</v>
      </c>
      <c r="Q324" s="22">
        <v>0</v>
      </c>
      <c r="R324" s="22" t="s">
        <v>1057</v>
      </c>
      <c r="S324" s="22" t="s">
        <v>1058</v>
      </c>
      <c r="AS324" s="3"/>
      <c r="BD324" s="97"/>
      <c r="DC324" s="182"/>
      <c r="DD324" s="65">
        <f>CT110</f>
        <v>0</v>
      </c>
      <c r="DE324" s="196" t="s">
        <v>2974</v>
      </c>
      <c r="DF324" s="197"/>
      <c r="DG324" s="1" t="s">
        <v>3004</v>
      </c>
      <c r="DH324" s="406">
        <f>IF(DH323&gt;0.999999999,0,DH323)</f>
        <v>0</v>
      </c>
      <c r="DI324" s="108" t="s">
        <v>2976</v>
      </c>
      <c r="DK324" s="182"/>
      <c r="EL324" s="3"/>
      <c r="EM324" s="3"/>
      <c r="FK324" s="135"/>
      <c r="HK324" s="170"/>
      <c r="HM324" s="1" t="s">
        <v>3688</v>
      </c>
      <c r="HN324" s="170">
        <f>HN319+HN320+HN321+HN322+HN323</f>
        <v>0</v>
      </c>
      <c r="IB324" s="170"/>
      <c r="IC324" s="405"/>
      <c r="ID324" s="527" t="s">
        <v>2392</v>
      </c>
      <c r="IE324" s="528" t="s">
        <v>2392</v>
      </c>
      <c r="IF324" s="37" t="s">
        <v>3837</v>
      </c>
      <c r="IG324" s="37"/>
      <c r="IH324" s="37"/>
      <c r="II324" s="1"/>
      <c r="IJ324" s="1"/>
      <c r="IK324" s="1"/>
      <c r="IL324" s="1"/>
      <c r="IM324" s="405"/>
      <c r="IN324" s="178"/>
      <c r="IO324" s="1"/>
      <c r="IP324" s="1" t="s">
        <v>3688</v>
      </c>
      <c r="IQ324" s="548">
        <f>IQ318+IQ320+IQ322+IQ323</f>
        <v>0</v>
      </c>
      <c r="IR324" s="1"/>
      <c r="IS324" s="1"/>
      <c r="IT324" s="1"/>
      <c r="IU324" s="1"/>
      <c r="IV324" s="1"/>
      <c r="IW324" s="1"/>
      <c r="IX324" s="1"/>
      <c r="IY324" s="1"/>
      <c r="IZ324" s="1"/>
      <c r="JA324" s="1"/>
      <c r="JB324" s="1"/>
      <c r="JC324" s="178"/>
      <c r="JD324" s="135"/>
    </row>
    <row r="325" spans="9:264">
      <c r="I325" s="22"/>
      <c r="J325" s="156" t="s">
        <v>1059</v>
      </c>
      <c r="K325" s="156" t="s">
        <v>1059</v>
      </c>
      <c r="L325" s="22">
        <v>19</v>
      </c>
      <c r="M325" s="22">
        <v>29</v>
      </c>
      <c r="N325" s="22">
        <v>42.4</v>
      </c>
      <c r="O325" s="22">
        <v>51</v>
      </c>
      <c r="P325" s="22">
        <v>43</v>
      </c>
      <c r="Q325" s="22">
        <v>47</v>
      </c>
      <c r="R325" s="22" t="s">
        <v>1060</v>
      </c>
      <c r="S325" s="22" t="s">
        <v>1061</v>
      </c>
      <c r="AS325" s="3"/>
      <c r="BD325" s="97"/>
      <c r="DC325" s="182"/>
      <c r="DE325" s="6" t="s">
        <v>2977</v>
      </c>
      <c r="DF325" s="6"/>
      <c r="DG325" s="108" t="s">
        <v>2981</v>
      </c>
      <c r="DI325" s="1" t="s">
        <v>3005</v>
      </c>
      <c r="DK325" s="182"/>
      <c r="EL325" s="3"/>
      <c r="EM325" s="3"/>
      <c r="FK325" s="135"/>
      <c r="HK325" s="170"/>
      <c r="HM325" s="191">
        <v>9</v>
      </c>
      <c r="IB325" s="170"/>
      <c r="IC325" s="405"/>
      <c r="ID325" s="527" t="s">
        <v>2403</v>
      </c>
      <c r="IE325" s="528" t="s">
        <v>2403</v>
      </c>
      <c r="IF325" s="37" t="s">
        <v>3839</v>
      </c>
      <c r="IG325" s="37"/>
      <c r="IH325" s="37"/>
      <c r="II325" s="1"/>
      <c r="IJ325" s="1"/>
      <c r="IK325" s="1"/>
      <c r="IL325" s="1"/>
      <c r="IM325" s="405"/>
      <c r="IN325" s="178"/>
      <c r="IO325" s="1"/>
      <c r="IP325" s="1"/>
      <c r="IQ325" s="1"/>
      <c r="IR325" s="1"/>
      <c r="IS325" s="1"/>
      <c r="IT325" s="1"/>
      <c r="IU325" s="1"/>
      <c r="IV325" s="1"/>
      <c r="IW325" s="1"/>
      <c r="IX325" s="1"/>
      <c r="IY325" s="1"/>
      <c r="IZ325" s="1"/>
      <c r="JA325" s="1"/>
      <c r="JB325" s="1"/>
      <c r="JC325" s="178"/>
      <c r="JD325" s="135"/>
    </row>
    <row r="326" spans="9:264">
      <c r="I326" s="22"/>
      <c r="J326" s="156" t="s">
        <v>1062</v>
      </c>
      <c r="K326" s="156" t="s">
        <v>1062</v>
      </c>
      <c r="L326" s="22">
        <v>19</v>
      </c>
      <c r="M326" s="22">
        <v>17</v>
      </c>
      <c r="N326" s="22">
        <v>6.2</v>
      </c>
      <c r="O326" s="22">
        <v>53</v>
      </c>
      <c r="P326" s="22">
        <v>22</v>
      </c>
      <c r="Q326" s="22">
        <v>6</v>
      </c>
      <c r="R326" s="22" t="s">
        <v>1063</v>
      </c>
      <c r="S326" s="22" t="s">
        <v>1064</v>
      </c>
      <c r="AS326" s="3"/>
      <c r="BD326" s="97"/>
      <c r="DC326" s="182"/>
      <c r="DD326" s="191" t="s">
        <v>2991</v>
      </c>
      <c r="DE326" s="6" t="s">
        <v>2978</v>
      </c>
      <c r="DF326" s="128"/>
      <c r="DG326" s="1" t="s">
        <v>3006</v>
      </c>
      <c r="DH326" s="1">
        <f>DF336-DH324</f>
        <v>0</v>
      </c>
      <c r="DI326" s="1" t="s">
        <v>3007</v>
      </c>
      <c r="DJ326" s="406">
        <f>DH288</f>
        <v>0</v>
      </c>
      <c r="DK326" s="182"/>
      <c r="EL326" s="3"/>
      <c r="EM326" s="3"/>
      <c r="FK326" s="135"/>
      <c r="HK326" s="170"/>
      <c r="HM326" s="1" t="s">
        <v>3841</v>
      </c>
      <c r="IB326" s="170"/>
      <c r="IC326" s="405"/>
      <c r="ID326" s="527" t="s">
        <v>342</v>
      </c>
      <c r="IE326" s="528" t="s">
        <v>342</v>
      </c>
      <c r="IF326" s="37" t="s">
        <v>3842</v>
      </c>
      <c r="IG326" s="37"/>
      <c r="IH326" s="37"/>
      <c r="II326" s="1"/>
      <c r="IJ326" s="1"/>
      <c r="IK326" s="1"/>
      <c r="IL326" s="1"/>
      <c r="IM326" s="405"/>
      <c r="IN326" s="178"/>
      <c r="IO326" s="1"/>
      <c r="IP326" s="1"/>
      <c r="IQ326" s="1"/>
      <c r="IR326" s="1"/>
      <c r="IS326" s="1"/>
      <c r="IT326" s="1"/>
      <c r="IU326" s="1"/>
      <c r="IV326" s="1"/>
      <c r="IW326" s="1"/>
      <c r="IX326" s="1"/>
      <c r="IY326" s="1"/>
      <c r="IZ326" s="1"/>
      <c r="JA326" s="1"/>
      <c r="JB326" s="1"/>
      <c r="JC326" s="178"/>
      <c r="JD326" s="135"/>
    </row>
    <row r="327" spans="9:264">
      <c r="I327" s="22"/>
      <c r="J327" s="156" t="s">
        <v>1065</v>
      </c>
      <c r="K327" s="156" t="s">
        <v>1065</v>
      </c>
      <c r="L327" s="22">
        <v>20</v>
      </c>
      <c r="M327" s="22">
        <v>57</v>
      </c>
      <c r="N327" s="22">
        <v>10.4</v>
      </c>
      <c r="O327" s="22">
        <v>41</v>
      </c>
      <c r="P327" s="22">
        <v>10</v>
      </c>
      <c r="Q327" s="22">
        <v>2</v>
      </c>
      <c r="R327" s="22" t="s">
        <v>1066</v>
      </c>
      <c r="S327" s="22" t="s">
        <v>1067</v>
      </c>
      <c r="AS327" s="3"/>
      <c r="BD327" s="97"/>
      <c r="DC327" s="182"/>
      <c r="DD327" s="1" t="s">
        <v>2981</v>
      </c>
      <c r="DE327" s="168" t="s">
        <v>2980</v>
      </c>
      <c r="DF327" s="65">
        <f>DJ284</f>
        <v>0</v>
      </c>
      <c r="DG327" s="1" t="s">
        <v>2986</v>
      </c>
      <c r="DH327" s="1">
        <f>IF(DF331=1,DH326,0)</f>
        <v>0</v>
      </c>
      <c r="DK327" s="182"/>
      <c r="EL327" s="3"/>
      <c r="EM327" s="3"/>
      <c r="FK327" s="135"/>
      <c r="HK327" s="170"/>
      <c r="HM327" s="1" t="s">
        <v>3689</v>
      </c>
      <c r="HN327" s="1">
        <f>IF(HN274=HM327,9,0)</f>
        <v>0</v>
      </c>
      <c r="IB327" s="170"/>
      <c r="IC327" s="405"/>
      <c r="ID327" s="527" t="s">
        <v>2420</v>
      </c>
      <c r="IE327" s="528" t="s">
        <v>2420</v>
      </c>
      <c r="IF327" s="37" t="s">
        <v>3843</v>
      </c>
      <c r="IG327" s="37"/>
      <c r="IH327" s="37"/>
      <c r="II327" s="1"/>
      <c r="IJ327" s="1"/>
      <c r="IK327" s="1"/>
      <c r="IL327" s="1"/>
      <c r="IM327" s="405"/>
      <c r="IN327" s="178"/>
      <c r="IO327" s="1"/>
      <c r="IP327" s="108" t="s">
        <v>3829</v>
      </c>
      <c r="IQ327" s="1"/>
      <c r="IR327" s="1"/>
      <c r="IS327" s="1"/>
      <c r="IT327" s="1"/>
      <c r="IU327" s="1"/>
      <c r="IV327" s="1"/>
      <c r="IW327" s="1"/>
      <c r="IX327" s="1"/>
      <c r="IY327" s="1"/>
      <c r="IZ327" s="1"/>
      <c r="JA327" s="1"/>
      <c r="JB327" s="1"/>
      <c r="JC327" s="178"/>
      <c r="JD327" s="135"/>
    </row>
    <row r="328" spans="9:264">
      <c r="I328" s="22"/>
      <c r="J328" s="156" t="s">
        <v>1068</v>
      </c>
      <c r="K328" s="156" t="s">
        <v>1068</v>
      </c>
      <c r="L328" s="22">
        <v>21</v>
      </c>
      <c r="M328" s="22">
        <v>4</v>
      </c>
      <c r="N328" s="22">
        <v>55.9</v>
      </c>
      <c r="O328" s="22">
        <v>43</v>
      </c>
      <c r="P328" s="22">
        <v>55</v>
      </c>
      <c r="Q328" s="22">
        <v>40</v>
      </c>
      <c r="R328" s="22" t="s">
        <v>1069</v>
      </c>
      <c r="S328" s="22" t="s">
        <v>1070</v>
      </c>
      <c r="AJ328" s="175"/>
      <c r="AK328" s="175"/>
      <c r="AL328" s="175"/>
      <c r="AM328" s="175"/>
      <c r="AN328" s="175"/>
      <c r="AO328" s="175"/>
      <c r="AP328" s="175"/>
      <c r="AS328" s="3"/>
      <c r="BD328" s="97"/>
      <c r="DC328" s="182"/>
      <c r="DD328" s="118">
        <f>DH288</f>
        <v>0</v>
      </c>
      <c r="DE328" s="128" t="s">
        <v>2983</v>
      </c>
      <c r="DF328" s="128" t="b">
        <f>ISNUMBER(DF327)</f>
        <v>1</v>
      </c>
      <c r="DG328" s="1" t="s">
        <v>2988</v>
      </c>
      <c r="DH328" s="1">
        <f>-1*DH327</f>
        <v>0</v>
      </c>
      <c r="DI328" s="1" t="s">
        <v>3008</v>
      </c>
      <c r="DK328" s="182"/>
      <c r="EL328" s="3"/>
      <c r="EM328" s="3"/>
      <c r="FK328" s="135"/>
      <c r="HK328" s="170"/>
      <c r="HM328" s="1" t="s">
        <v>3845</v>
      </c>
      <c r="HN328" s="1">
        <f>IF(HN274=HM328,9,0)</f>
        <v>0</v>
      </c>
      <c r="IB328" s="170"/>
      <c r="IC328" s="405"/>
      <c r="ID328" s="527" t="s">
        <v>251</v>
      </c>
      <c r="IE328" s="528" t="s">
        <v>251</v>
      </c>
      <c r="IF328" s="37" t="s">
        <v>3846</v>
      </c>
      <c r="IG328" s="37"/>
      <c r="IH328" s="37"/>
      <c r="II328" s="1"/>
      <c r="IJ328" s="1"/>
      <c r="IK328" s="1"/>
      <c r="IL328" s="1"/>
      <c r="IM328" s="405"/>
      <c r="IN328" s="178"/>
      <c r="IO328" s="1"/>
      <c r="IP328" s="1"/>
      <c r="IQ328" s="1"/>
      <c r="IR328" s="1"/>
      <c r="IS328" s="1"/>
      <c r="IT328" s="1"/>
      <c r="IU328" s="1"/>
      <c r="IV328" s="1"/>
      <c r="IW328" s="1"/>
      <c r="IX328" s="1"/>
      <c r="IY328" s="1"/>
      <c r="IZ328" s="1"/>
      <c r="JA328" s="1"/>
      <c r="JB328" s="1"/>
      <c r="JC328" s="178"/>
      <c r="JD328" s="135"/>
    </row>
    <row r="329" spans="9:264">
      <c r="I329" s="22"/>
      <c r="J329" s="156" t="s">
        <v>1071</v>
      </c>
      <c r="K329" s="156" t="s">
        <v>1071</v>
      </c>
      <c r="L329" s="22">
        <v>20</v>
      </c>
      <c r="M329" s="22">
        <v>13</v>
      </c>
      <c r="N329" s="22">
        <v>37.9</v>
      </c>
      <c r="O329" s="22">
        <v>46</v>
      </c>
      <c r="P329" s="22">
        <v>44</v>
      </c>
      <c r="Q329" s="22">
        <v>29</v>
      </c>
      <c r="R329" s="22" t="s">
        <v>1072</v>
      </c>
      <c r="S329" s="22" t="s">
        <v>1073</v>
      </c>
      <c r="AJ329" s="175"/>
      <c r="AK329" s="175"/>
      <c r="AL329" s="175"/>
      <c r="AM329" s="175"/>
      <c r="AN329" s="175"/>
      <c r="AO329" s="175"/>
      <c r="AP329" s="175"/>
      <c r="AS329" s="3"/>
      <c r="BD329" s="97"/>
      <c r="DC329" s="182"/>
      <c r="DD329" s="1" t="s">
        <v>2993</v>
      </c>
      <c r="DE329" s="128" t="s">
        <v>2985</v>
      </c>
      <c r="DF329" s="128">
        <f>DF328*1</f>
        <v>1</v>
      </c>
      <c r="DG329" s="1" t="s">
        <v>2990</v>
      </c>
      <c r="DH329" s="406">
        <f>IF(DF331=1,DH328,DH326)</f>
        <v>0</v>
      </c>
      <c r="DI329" s="1" t="s">
        <v>3009</v>
      </c>
      <c r="DJ329" s="406">
        <f>DH329</f>
        <v>0</v>
      </c>
      <c r="DK329" s="182"/>
      <c r="EL329" s="3"/>
      <c r="EM329" s="3"/>
      <c r="FK329" s="135"/>
      <c r="HK329" s="170"/>
      <c r="HM329" s="1" t="s">
        <v>3847</v>
      </c>
      <c r="HN329" s="1">
        <f>IF(HN274=HM329,9,0)</f>
        <v>0</v>
      </c>
      <c r="IB329" s="170"/>
      <c r="IC329" s="405"/>
      <c r="ID329" s="527" t="s">
        <v>2149</v>
      </c>
      <c r="IE329" s="528" t="s">
        <v>2149</v>
      </c>
      <c r="IF329" s="37" t="s">
        <v>3848</v>
      </c>
      <c r="IG329" s="37"/>
      <c r="IH329" s="37"/>
      <c r="II329" s="1"/>
      <c r="IJ329" s="1"/>
      <c r="IK329" s="1"/>
      <c r="IL329" s="1"/>
      <c r="IM329" s="405"/>
      <c r="IN329" s="178"/>
      <c r="IO329" s="1"/>
      <c r="IP329" s="1"/>
      <c r="IQ329" s="1"/>
      <c r="IR329" s="1"/>
      <c r="IS329" s="1"/>
      <c r="IT329" s="1"/>
      <c r="IU329" s="1"/>
      <c r="IV329" s="1"/>
      <c r="IW329" s="1"/>
      <c r="IX329" s="1"/>
      <c r="IY329" s="1"/>
      <c r="IZ329" s="1"/>
      <c r="JA329" s="1"/>
      <c r="JB329" s="1"/>
      <c r="JC329" s="178"/>
      <c r="JD329" s="135"/>
    </row>
    <row r="330" spans="9:264">
      <c r="I330" s="22"/>
      <c r="J330" s="156" t="s">
        <v>1074</v>
      </c>
      <c r="K330" s="156" t="s">
        <v>1074</v>
      </c>
      <c r="L330" s="22">
        <v>20</v>
      </c>
      <c r="M330" s="22">
        <v>15</v>
      </c>
      <c r="N330" s="22">
        <v>28.3</v>
      </c>
      <c r="O330" s="22">
        <v>47</v>
      </c>
      <c r="P330" s="22">
        <v>42</v>
      </c>
      <c r="Q330" s="22">
        <v>51</v>
      </c>
      <c r="R330" s="22" t="s">
        <v>1075</v>
      </c>
      <c r="S330" s="22" t="s">
        <v>1076</v>
      </c>
      <c r="AJ330" s="175"/>
      <c r="AK330" s="175"/>
      <c r="AL330" s="175"/>
      <c r="AM330" s="175"/>
      <c r="AN330" s="175"/>
      <c r="AO330" s="175"/>
      <c r="AP330" s="175"/>
      <c r="AS330" s="3"/>
      <c r="BD330" s="97"/>
      <c r="DC330" s="182"/>
      <c r="DD330" s="118">
        <f>DH293</f>
        <v>0</v>
      </c>
      <c r="DE330" s="128" t="s">
        <v>2987</v>
      </c>
      <c r="DF330" s="6">
        <f>IF(DF329=1,DF327,0)</f>
        <v>0</v>
      </c>
      <c r="DH330" s="175"/>
      <c r="DK330" s="182"/>
      <c r="EL330" s="3"/>
      <c r="EM330" s="3"/>
      <c r="FK330" s="135"/>
      <c r="HK330" s="170"/>
      <c r="HM330" s="1" t="s">
        <v>3688</v>
      </c>
      <c r="HN330" s="170">
        <f>HN327+HN328+HN329</f>
        <v>0</v>
      </c>
      <c r="IB330" s="170"/>
      <c r="IC330" s="405"/>
      <c r="ID330" s="527" t="s">
        <v>492</v>
      </c>
      <c r="IE330" s="528" t="s">
        <v>492</v>
      </c>
      <c r="IF330" s="37" t="s">
        <v>3851</v>
      </c>
      <c r="IG330" s="37"/>
      <c r="IH330" s="37"/>
      <c r="II330" s="1"/>
      <c r="IJ330" s="1"/>
      <c r="IK330" s="1"/>
      <c r="IL330" s="1"/>
      <c r="IM330" s="405"/>
      <c r="IN330" s="178"/>
      <c r="IO330" s="1"/>
      <c r="IP330" s="1" t="s">
        <v>3741</v>
      </c>
      <c r="IQ330" s="1" t="b">
        <f>ISNUMBER(IQ282)</f>
        <v>1</v>
      </c>
      <c r="IR330" s="235" t="b">
        <v>0</v>
      </c>
      <c r="IS330" s="1"/>
      <c r="IT330" s="1"/>
      <c r="IU330" s="1"/>
      <c r="IV330" s="1"/>
      <c r="IW330" s="1"/>
      <c r="IX330" s="1"/>
      <c r="IY330" s="1"/>
      <c r="IZ330" s="1"/>
      <c r="JA330" s="1"/>
      <c r="JB330" s="1"/>
      <c r="JC330" s="178"/>
      <c r="JD330" s="135"/>
    </row>
    <row r="331" spans="9:264">
      <c r="I331" s="22"/>
      <c r="J331" s="156" t="s">
        <v>1077</v>
      </c>
      <c r="K331" s="156" t="s">
        <v>1077</v>
      </c>
      <c r="L331" s="22">
        <v>21</v>
      </c>
      <c r="M331" s="22">
        <v>17</v>
      </c>
      <c r="N331" s="22">
        <v>25</v>
      </c>
      <c r="O331" s="22">
        <v>39</v>
      </c>
      <c r="P331" s="22">
        <v>23</v>
      </c>
      <c r="Q331" s="22">
        <v>41</v>
      </c>
      <c r="R331" s="22" t="s">
        <v>1078</v>
      </c>
      <c r="S331" s="22" t="s">
        <v>1079</v>
      </c>
      <c r="AJ331" s="175"/>
      <c r="AK331" s="175"/>
      <c r="AL331" s="175"/>
      <c r="AM331" s="175"/>
      <c r="AN331" s="175"/>
      <c r="AO331" s="175"/>
      <c r="AP331" s="175"/>
      <c r="AS331" s="3"/>
      <c r="BD331" s="97"/>
      <c r="DC331" s="182"/>
      <c r="DD331" s="407" t="s">
        <v>2997</v>
      </c>
      <c r="DE331" s="132" t="s">
        <v>2989</v>
      </c>
      <c r="DF331" s="132">
        <f>IF(DF330&lt;0,1,0)</f>
        <v>0</v>
      </c>
      <c r="DG331" s="108" t="s">
        <v>2993</v>
      </c>
      <c r="DI331" s="1" t="s">
        <v>3010</v>
      </c>
      <c r="DK331" s="182"/>
      <c r="EL331" s="3"/>
      <c r="EM331" s="3"/>
      <c r="FK331" s="135"/>
      <c r="HK331" s="170"/>
      <c r="HM331" s="191">
        <v>10</v>
      </c>
      <c r="IB331" s="170"/>
      <c r="IC331" s="405"/>
      <c r="ID331" s="527" t="s">
        <v>3736</v>
      </c>
      <c r="IE331" s="528" t="s">
        <v>3736</v>
      </c>
      <c r="IF331" s="37" t="s">
        <v>3853</v>
      </c>
      <c r="IG331" s="37"/>
      <c r="IH331" s="37"/>
      <c r="II331" s="1"/>
      <c r="IJ331" s="1"/>
      <c r="IK331" s="1"/>
      <c r="IL331" s="1"/>
      <c r="IM331" s="405"/>
      <c r="IN331" s="178"/>
      <c r="IO331" s="1"/>
      <c r="IP331" s="1" t="s">
        <v>3744</v>
      </c>
      <c r="IQ331" s="1">
        <f>IF(IQ330=IR330,0,IQ282)</f>
        <v>0</v>
      </c>
      <c r="IR331" s="1"/>
      <c r="IS331" s="1"/>
      <c r="IT331" s="1"/>
      <c r="IU331" s="1"/>
      <c r="IV331" s="1"/>
      <c r="IW331" s="1"/>
      <c r="IX331" s="1"/>
      <c r="IY331" s="1"/>
      <c r="IZ331" s="1"/>
      <c r="JA331" s="1"/>
      <c r="JB331" s="1"/>
      <c r="JC331" s="178"/>
      <c r="JD331" s="135"/>
    </row>
    <row r="332" spans="9:264">
      <c r="I332" s="22"/>
      <c r="J332" s="156" t="s">
        <v>1080</v>
      </c>
      <c r="K332" s="156" t="s">
        <v>1080</v>
      </c>
      <c r="L332" s="22">
        <v>21</v>
      </c>
      <c r="M332" s="22">
        <v>14</v>
      </c>
      <c r="N332" s="22">
        <v>47.5</v>
      </c>
      <c r="O332" s="22">
        <v>38</v>
      </c>
      <c r="P332" s="22">
        <v>2</v>
      </c>
      <c r="Q332" s="22">
        <v>44</v>
      </c>
      <c r="R332" s="22" t="s">
        <v>1081</v>
      </c>
      <c r="S332" s="22" t="s">
        <v>1082</v>
      </c>
      <c r="AJ332" s="175"/>
      <c r="AK332" s="175"/>
      <c r="AL332" s="175"/>
      <c r="AM332" s="175"/>
      <c r="AN332" s="175"/>
      <c r="AO332" s="175"/>
      <c r="AP332" s="175"/>
      <c r="AS332" s="3"/>
      <c r="BD332" s="97"/>
      <c r="DC332" s="182"/>
      <c r="DD332" s="408">
        <f>DJ326</f>
        <v>0</v>
      </c>
      <c r="DE332" s="128" t="s">
        <v>2992</v>
      </c>
      <c r="DF332" s="128">
        <f>IF(DF331=1,DF330,0)</f>
        <v>0</v>
      </c>
      <c r="DG332" s="1" t="s">
        <v>2994</v>
      </c>
      <c r="DH332" s="1">
        <f>IF(DF331=1,DH324,0)</f>
        <v>0</v>
      </c>
      <c r="DI332" s="1" t="s">
        <v>3011</v>
      </c>
      <c r="DJ332" s="406">
        <f>60*DH334</f>
        <v>0</v>
      </c>
      <c r="DK332" s="182"/>
      <c r="EL332" s="3"/>
      <c r="EM332" s="3"/>
      <c r="FK332" s="135"/>
      <c r="HK332" s="170"/>
      <c r="HM332" s="1" t="s">
        <v>3855</v>
      </c>
      <c r="IB332" s="170"/>
      <c r="IC332" s="405"/>
      <c r="ID332" s="527" t="s">
        <v>2545</v>
      </c>
      <c r="IE332" s="528" t="s">
        <v>2545</v>
      </c>
      <c r="IF332" s="37" t="s">
        <v>3856</v>
      </c>
      <c r="IG332" s="37"/>
      <c r="IH332" s="37"/>
      <c r="II332" s="1"/>
      <c r="IJ332" s="1"/>
      <c r="IK332" s="1"/>
      <c r="IL332" s="1"/>
      <c r="IM332" s="405"/>
      <c r="IN332" s="178"/>
      <c r="IO332" s="1"/>
      <c r="IP332" s="1"/>
      <c r="IQ332" s="1"/>
      <c r="IR332" s="1"/>
      <c r="IS332" s="1"/>
      <c r="IT332" s="1"/>
      <c r="IU332" s="1"/>
      <c r="IV332" s="1"/>
      <c r="IW332" s="1"/>
      <c r="IX332" s="1"/>
      <c r="IY332" s="1"/>
      <c r="IZ332" s="1"/>
      <c r="JA332" s="1"/>
      <c r="JB332" s="1"/>
      <c r="JC332" s="178"/>
      <c r="JD332" s="135"/>
    </row>
    <row r="333" spans="9:264">
      <c r="I333" s="24" t="s">
        <v>1083</v>
      </c>
      <c r="J333" s="157" t="s">
        <v>1084</v>
      </c>
      <c r="K333" s="157" t="s">
        <v>1084</v>
      </c>
      <c r="L333" s="24" t="s">
        <v>39</v>
      </c>
      <c r="M333" s="24" t="s">
        <v>1083</v>
      </c>
      <c r="N333" s="24" t="s">
        <v>1083</v>
      </c>
      <c r="O333" s="24" t="s">
        <v>40</v>
      </c>
      <c r="P333" s="24" t="s">
        <v>1085</v>
      </c>
      <c r="Q333" s="24" t="s">
        <v>1086</v>
      </c>
      <c r="R333" s="24" t="s">
        <v>1087</v>
      </c>
      <c r="S333" s="24" t="s">
        <v>1085</v>
      </c>
      <c r="AJ333" s="175"/>
      <c r="AK333" s="175"/>
      <c r="AL333" s="175"/>
      <c r="AM333" s="175"/>
      <c r="AN333" s="175"/>
      <c r="AO333" s="175"/>
      <c r="AP333" s="175"/>
      <c r="AS333" s="3"/>
      <c r="BD333" s="97"/>
      <c r="DC333" s="182"/>
      <c r="DD333" s="409" t="s">
        <v>11</v>
      </c>
      <c r="DE333" s="128" t="s">
        <v>3012</v>
      </c>
      <c r="DF333" s="128">
        <f>DF332*-1</f>
        <v>0</v>
      </c>
      <c r="DG333" s="1" t="s">
        <v>2988</v>
      </c>
      <c r="DH333" s="1">
        <f>-1*DH332</f>
        <v>0</v>
      </c>
      <c r="DK333" s="182"/>
      <c r="EL333" s="3"/>
      <c r="EM333" s="3"/>
      <c r="FK333" s="135"/>
      <c r="HK333" s="170"/>
      <c r="HM333" s="1" t="s">
        <v>3694</v>
      </c>
      <c r="HN333" s="1">
        <f>IF(HN274=HM333,10,0)</f>
        <v>0</v>
      </c>
      <c r="IB333" s="170"/>
      <c r="IC333" s="405"/>
      <c r="ID333" s="527" t="s">
        <v>2525</v>
      </c>
      <c r="IE333" s="528" t="s">
        <v>2525</v>
      </c>
      <c r="IF333" s="37" t="s">
        <v>3857</v>
      </c>
      <c r="IG333" s="37"/>
      <c r="IH333" s="37"/>
      <c r="II333" s="1"/>
      <c r="IJ333" s="1"/>
      <c r="IK333" s="1"/>
      <c r="IL333" s="1"/>
      <c r="IM333" s="405"/>
      <c r="IN333" s="178"/>
      <c r="IO333" s="1"/>
      <c r="IP333" s="1"/>
      <c r="IQ333" s="1"/>
      <c r="IR333" s="1"/>
      <c r="IS333" s="1"/>
      <c r="IT333" s="1"/>
      <c r="IU333" s="1"/>
      <c r="IV333" s="1"/>
      <c r="IW333" s="1"/>
      <c r="IX333" s="1"/>
      <c r="IY333" s="1"/>
      <c r="IZ333" s="1"/>
      <c r="JA333" s="1"/>
      <c r="JB333" s="1"/>
      <c r="JC333" s="178"/>
      <c r="JD333" s="135"/>
    </row>
    <row r="334" spans="9:264">
      <c r="I334" s="22"/>
      <c r="J334" s="156" t="s">
        <v>1088</v>
      </c>
      <c r="K334" s="156" t="s">
        <v>1088</v>
      </c>
      <c r="L334" s="22">
        <v>5</v>
      </c>
      <c r="M334" s="22">
        <v>32</v>
      </c>
      <c r="N334" s="22">
        <v>43.8</v>
      </c>
      <c r="O334" s="22">
        <v>-17</v>
      </c>
      <c r="P334" s="22">
        <v>-49</v>
      </c>
      <c r="Q334" s="22">
        <v>-20</v>
      </c>
      <c r="R334" s="22" t="s">
        <v>1089</v>
      </c>
      <c r="S334" s="22" t="s">
        <v>1090</v>
      </c>
      <c r="AJ334" s="175"/>
      <c r="AK334" s="175"/>
      <c r="AL334" s="175"/>
      <c r="AM334" s="175"/>
      <c r="AN334" s="175"/>
      <c r="AO334" s="175"/>
      <c r="AP334" s="175"/>
      <c r="AS334" s="3"/>
      <c r="BD334" s="97"/>
      <c r="DC334" s="182"/>
      <c r="DD334" s="410">
        <f>DJ329</f>
        <v>0</v>
      </c>
      <c r="DE334" s="128" t="s">
        <v>2995</v>
      </c>
      <c r="DF334" s="6">
        <f>IF(DF333=0,DF330,DF333)</f>
        <v>0</v>
      </c>
      <c r="DG334" s="1" t="s">
        <v>2996</v>
      </c>
      <c r="DH334" s="406">
        <f>IF(DF331=1,DH333,DH324)</f>
        <v>0</v>
      </c>
      <c r="DK334" s="182"/>
      <c r="EL334" s="3"/>
      <c r="EM334" s="3"/>
      <c r="FK334" s="135"/>
      <c r="HK334" s="170"/>
      <c r="HM334" s="1" t="s">
        <v>3859</v>
      </c>
      <c r="HN334" s="1">
        <f>IF(HN274=HM334,10,0)</f>
        <v>0</v>
      </c>
      <c r="IB334" s="170"/>
      <c r="IC334" s="405"/>
      <c r="ID334" s="527" t="s">
        <v>2589</v>
      </c>
      <c r="IE334" s="528" t="s">
        <v>2589</v>
      </c>
      <c r="IF334" s="37" t="s">
        <v>3860</v>
      </c>
      <c r="IG334" s="37"/>
      <c r="IH334" s="37"/>
      <c r="II334" s="1"/>
      <c r="IJ334" s="1"/>
      <c r="IK334" s="1"/>
      <c r="IL334" s="1"/>
      <c r="IM334" s="405"/>
      <c r="IN334" s="178"/>
      <c r="IO334" s="1"/>
      <c r="IP334" s="1"/>
      <c r="IQ334" s="1"/>
      <c r="IR334" s="1"/>
      <c r="IS334" s="1"/>
      <c r="IT334" s="1"/>
      <c r="IU334" s="1"/>
      <c r="IV334" s="1"/>
      <c r="IW334" s="1"/>
      <c r="IX334" s="1"/>
      <c r="IY334" s="1"/>
      <c r="IZ334" s="1"/>
      <c r="JA334" s="1"/>
      <c r="JB334" s="1"/>
      <c r="JC334" s="178"/>
      <c r="JD334" s="135"/>
    </row>
    <row r="335" spans="9:264">
      <c r="I335" s="22"/>
      <c r="J335" s="156" t="s">
        <v>1091</v>
      </c>
      <c r="K335" s="156" t="s">
        <v>1091</v>
      </c>
      <c r="L335" s="22">
        <v>5</v>
      </c>
      <c r="M335" s="22">
        <v>28</v>
      </c>
      <c r="N335" s="22">
        <v>14.7</v>
      </c>
      <c r="O335" s="22">
        <v>-20</v>
      </c>
      <c r="P335" s="22">
        <v>-45</v>
      </c>
      <c r="Q335" s="22">
        <v>-34</v>
      </c>
      <c r="R335" s="22" t="s">
        <v>1092</v>
      </c>
      <c r="S335" s="22" t="s">
        <v>1093</v>
      </c>
      <c r="AJ335" s="175"/>
      <c r="AK335" s="175"/>
      <c r="AL335" s="175"/>
      <c r="AM335" s="175"/>
      <c r="AN335" s="175"/>
      <c r="AO335" s="175"/>
      <c r="AP335" s="175"/>
      <c r="AS335" s="3"/>
      <c r="BD335" s="97"/>
      <c r="DC335" s="182"/>
      <c r="DD335" s="409" t="s">
        <v>2858</v>
      </c>
      <c r="DE335" s="145" t="s">
        <v>3013</v>
      </c>
      <c r="DF335" s="6">
        <f>DF334</f>
        <v>0</v>
      </c>
      <c r="DH335" s="175"/>
      <c r="DK335" s="182"/>
      <c r="EL335" s="3"/>
      <c r="EM335" s="3"/>
      <c r="FK335" s="135"/>
      <c r="HK335" s="170"/>
      <c r="HM335" s="1" t="s">
        <v>4052</v>
      </c>
      <c r="HN335" s="1">
        <f>IF(HN274=HM335,10,0)</f>
        <v>0</v>
      </c>
      <c r="IB335" s="170"/>
      <c r="IC335" s="405"/>
      <c r="ID335" s="527" t="s">
        <v>114</v>
      </c>
      <c r="IE335" s="528" t="s">
        <v>114</v>
      </c>
      <c r="IF335" s="37" t="s">
        <v>3863</v>
      </c>
      <c r="IG335" s="37"/>
      <c r="IH335" s="37"/>
      <c r="II335" s="1"/>
      <c r="IJ335" s="1"/>
      <c r="IK335" s="1"/>
      <c r="IL335" s="1"/>
      <c r="IM335" s="405"/>
      <c r="IN335" s="178"/>
      <c r="IO335" s="1"/>
      <c r="IP335" s="1"/>
      <c r="IQ335" s="1"/>
      <c r="IR335" s="1"/>
      <c r="IS335" s="1"/>
      <c r="IT335" s="1"/>
      <c r="IU335" s="1"/>
      <c r="IV335" s="1"/>
      <c r="IW335" s="1"/>
      <c r="IX335" s="1"/>
      <c r="IY335" s="1"/>
      <c r="IZ335" s="1"/>
      <c r="JA335" s="1"/>
      <c r="JB335" s="1"/>
      <c r="JC335" s="178"/>
      <c r="JD335" s="135"/>
    </row>
    <row r="336" spans="9:264">
      <c r="I336" s="22"/>
      <c r="J336" s="156" t="s">
        <v>1094</v>
      </c>
      <c r="K336" s="156" t="s">
        <v>1094</v>
      </c>
      <c r="L336" s="22">
        <v>5</v>
      </c>
      <c r="M336" s="22">
        <v>44</v>
      </c>
      <c r="N336" s="22">
        <v>27.8</v>
      </c>
      <c r="O336" s="22">
        <v>-22</v>
      </c>
      <c r="P336" s="22">
        <v>-26</v>
      </c>
      <c r="Q336" s="22">
        <v>-54</v>
      </c>
      <c r="R336" s="22" t="s">
        <v>1095</v>
      </c>
      <c r="S336" s="22" t="s">
        <v>1096</v>
      </c>
      <c r="AJ336" s="175"/>
      <c r="AK336" s="175"/>
      <c r="AL336" s="175"/>
      <c r="AM336" s="175"/>
      <c r="AN336" s="175"/>
      <c r="AO336" s="175"/>
      <c r="AP336" s="175"/>
      <c r="AS336" s="3"/>
      <c r="BD336" s="97"/>
      <c r="DC336" s="182"/>
      <c r="DD336" s="410">
        <f>DJ332</f>
        <v>0</v>
      </c>
      <c r="DE336" s="1" t="s">
        <v>3014</v>
      </c>
      <c r="DF336" s="190">
        <f>IF(DF335&gt;100,0,DF335)</f>
        <v>0</v>
      </c>
      <c r="DK336" s="182"/>
      <c r="EL336" s="3"/>
      <c r="EM336" s="3"/>
      <c r="FK336" s="135"/>
      <c r="HK336" s="170"/>
      <c r="HM336" s="1" t="s">
        <v>3862</v>
      </c>
      <c r="HN336" s="1">
        <f>IF(HN274=HM336,10,0)</f>
        <v>0</v>
      </c>
      <c r="IB336" s="170"/>
      <c r="IC336" s="405"/>
      <c r="ID336" s="527" t="s">
        <v>177</v>
      </c>
      <c r="IE336" s="528" t="s">
        <v>177</v>
      </c>
      <c r="IF336" s="37" t="s">
        <v>3864</v>
      </c>
      <c r="IG336" s="37"/>
      <c r="IH336" s="37"/>
      <c r="II336" s="1"/>
      <c r="IJ336" s="1"/>
      <c r="IK336" s="1"/>
      <c r="IL336" s="1"/>
      <c r="IM336" s="405"/>
      <c r="IN336" s="178"/>
      <c r="IO336" s="1"/>
      <c r="IP336" s="1"/>
      <c r="IQ336" s="1"/>
      <c r="IR336" s="1"/>
      <c r="IS336" s="1"/>
      <c r="IT336" s="1"/>
      <c r="IU336" s="1"/>
      <c r="IV336" s="1"/>
      <c r="IW336" s="1"/>
      <c r="IX336" s="1"/>
      <c r="IY336" s="1"/>
      <c r="IZ336" s="1"/>
      <c r="JA336" s="1"/>
      <c r="JB336" s="1"/>
      <c r="JC336" s="178"/>
      <c r="JD336" s="135"/>
    </row>
    <row r="337" spans="9:264">
      <c r="I337" s="22"/>
      <c r="J337" s="156" t="s">
        <v>1097</v>
      </c>
      <c r="K337" s="156" t="s">
        <v>1097</v>
      </c>
      <c r="L337" s="22">
        <v>5</v>
      </c>
      <c r="M337" s="22">
        <v>51</v>
      </c>
      <c r="N337" s="22">
        <v>19.3</v>
      </c>
      <c r="O337" s="22">
        <v>-20</v>
      </c>
      <c r="P337" s="22">
        <v>-52</v>
      </c>
      <c r="Q337" s="22">
        <v>-45</v>
      </c>
      <c r="R337" s="22" t="s">
        <v>1098</v>
      </c>
      <c r="S337" s="22" t="s">
        <v>1099</v>
      </c>
      <c r="AJ337" s="175"/>
      <c r="AK337" s="175"/>
      <c r="AL337" s="175"/>
      <c r="AM337" s="175"/>
      <c r="AN337" s="175"/>
      <c r="AO337" s="175"/>
      <c r="AP337" s="175"/>
      <c r="AS337" s="3"/>
      <c r="BD337" s="97"/>
      <c r="DC337" s="182"/>
      <c r="DD337" s="182"/>
      <c r="DE337" s="182"/>
      <c r="DF337" s="182"/>
      <c r="DG337" s="182"/>
      <c r="DH337" s="182"/>
      <c r="DI337" s="182"/>
      <c r="DJ337" s="182"/>
      <c r="DK337" s="182"/>
      <c r="EL337" s="3"/>
      <c r="EM337" s="3"/>
      <c r="FK337" s="135"/>
      <c r="HK337" s="170"/>
      <c r="HM337" s="1" t="s">
        <v>3688</v>
      </c>
      <c r="HN337" s="170">
        <f>HN333+HN334+HN336+HN335</f>
        <v>0</v>
      </c>
      <c r="IB337" s="170"/>
      <c r="IC337" s="405"/>
      <c r="ID337" s="527" t="s">
        <v>672</v>
      </c>
      <c r="IE337" s="528" t="s">
        <v>672</v>
      </c>
      <c r="IF337" s="37" t="s">
        <v>3865</v>
      </c>
      <c r="IG337" s="37"/>
      <c r="IH337" s="37"/>
      <c r="II337" s="1"/>
      <c r="IJ337" s="1"/>
      <c r="IK337" s="1"/>
      <c r="IL337" s="1"/>
      <c r="IM337" s="405"/>
      <c r="IN337" s="178"/>
      <c r="IO337" s="1"/>
      <c r="IP337" s="1"/>
      <c r="IQ337" s="1" t="s">
        <v>3634</v>
      </c>
      <c r="IR337" s="1" t="s">
        <v>3800</v>
      </c>
      <c r="IS337" s="1"/>
      <c r="IT337" s="1"/>
      <c r="IU337" s="1"/>
      <c r="IV337" s="1"/>
      <c r="IW337" s="1"/>
      <c r="IX337" s="1"/>
      <c r="IY337" s="1"/>
      <c r="IZ337" s="1"/>
      <c r="JA337" s="1"/>
      <c r="JB337" s="1"/>
      <c r="JC337" s="178"/>
      <c r="JD337" s="135"/>
    </row>
    <row r="338" spans="9:264">
      <c r="I338" s="22"/>
      <c r="J338" s="156" t="s">
        <v>1100</v>
      </c>
      <c r="K338" s="156" t="s">
        <v>1100</v>
      </c>
      <c r="L338" s="22">
        <v>5</v>
      </c>
      <c r="M338" s="22">
        <v>5</v>
      </c>
      <c r="N338" s="22">
        <v>27.7</v>
      </c>
      <c r="O338" s="22">
        <v>-22</v>
      </c>
      <c r="P338" s="22">
        <v>-22</v>
      </c>
      <c r="Q338" s="22">
        <v>-16</v>
      </c>
      <c r="R338" s="22" t="s">
        <v>1101</v>
      </c>
      <c r="S338" s="22" t="s">
        <v>1102</v>
      </c>
      <c r="AJ338" s="175"/>
      <c r="AK338" s="175"/>
      <c r="AL338" s="175"/>
      <c r="AM338" s="175"/>
      <c r="AN338" s="175"/>
      <c r="AO338" s="175"/>
      <c r="AP338" s="175"/>
      <c r="AS338" s="3"/>
      <c r="BD338" s="97"/>
      <c r="EL338" s="3"/>
      <c r="EM338" s="3"/>
      <c r="FK338" s="135"/>
      <c r="HK338" s="170"/>
      <c r="HM338" s="191">
        <v>11</v>
      </c>
      <c r="IB338" s="170"/>
      <c r="IC338" s="405"/>
      <c r="ID338" s="527" t="s">
        <v>2237</v>
      </c>
      <c r="IE338" s="528" t="s">
        <v>2237</v>
      </c>
      <c r="IF338" s="37" t="s">
        <v>3868</v>
      </c>
      <c r="IG338" s="37"/>
      <c r="IH338" s="37"/>
      <c r="II338" s="1"/>
      <c r="IJ338" s="1"/>
      <c r="IK338" s="1"/>
      <c r="IL338" s="1"/>
      <c r="IM338" s="405"/>
      <c r="IN338" s="178"/>
      <c r="IO338" s="1"/>
      <c r="IP338" s="1"/>
      <c r="IQ338" s="187">
        <f>IQ281</f>
        <v>0</v>
      </c>
      <c r="IR338" s="190">
        <f>IQ331</f>
        <v>0</v>
      </c>
      <c r="IS338" s="1"/>
      <c r="IT338" s="1"/>
      <c r="IU338" s="1"/>
      <c r="IV338" s="1"/>
      <c r="IW338" s="1"/>
      <c r="IX338" s="1"/>
      <c r="IY338" s="1"/>
      <c r="IZ338" s="1"/>
      <c r="JA338" s="1"/>
      <c r="JB338" s="1"/>
      <c r="JC338" s="178"/>
      <c r="JD338" s="135"/>
    </row>
    <row r="339" spans="9:264">
      <c r="I339" s="22"/>
      <c r="J339" s="156" t="s">
        <v>1103</v>
      </c>
      <c r="K339" s="156" t="s">
        <v>1103</v>
      </c>
      <c r="L339" s="22">
        <v>5</v>
      </c>
      <c r="M339" s="22">
        <v>46</v>
      </c>
      <c r="N339" s="22">
        <v>57.3</v>
      </c>
      <c r="O339" s="22">
        <v>-14</v>
      </c>
      <c r="P339" s="22">
        <v>-49</v>
      </c>
      <c r="Q339" s="22">
        <v>-19</v>
      </c>
      <c r="R339" s="22" t="s">
        <v>1104</v>
      </c>
      <c r="S339" s="22" t="s">
        <v>1105</v>
      </c>
      <c r="AJ339" s="175"/>
      <c r="AK339" s="175"/>
      <c r="AL339" s="175"/>
      <c r="AM339" s="175"/>
      <c r="AN339" s="175"/>
      <c r="AO339" s="175"/>
      <c r="AP339" s="175"/>
      <c r="AS339" s="3"/>
      <c r="BD339" s="97"/>
      <c r="EL339" s="3"/>
      <c r="EM339" s="3"/>
      <c r="FK339" s="135"/>
      <c r="HK339" s="170"/>
      <c r="HM339" s="1" t="s">
        <v>3867</v>
      </c>
      <c r="IB339" s="170"/>
      <c r="IC339" s="405"/>
      <c r="ID339" s="527" t="s">
        <v>104</v>
      </c>
      <c r="IE339" s="528" t="s">
        <v>104</v>
      </c>
      <c r="IF339" s="37" t="s">
        <v>3871</v>
      </c>
      <c r="IG339" s="37"/>
      <c r="IH339" s="37"/>
      <c r="II339" s="1"/>
      <c r="IJ339" s="1"/>
      <c r="IK339" s="1"/>
      <c r="IL339" s="1"/>
      <c r="IM339" s="405"/>
      <c r="IN339" s="178"/>
      <c r="IO339" s="1"/>
      <c r="IP339" s="1" t="s">
        <v>3761</v>
      </c>
      <c r="IQ339" s="1">
        <f>IF(IR338&lt;10,IR338,0)</f>
        <v>0</v>
      </c>
      <c r="IR339" s="1"/>
      <c r="IS339" s="1"/>
      <c r="IT339" s="547">
        <f>IQ351</f>
        <v>0</v>
      </c>
      <c r="IU339" s="1"/>
      <c r="IV339" s="1"/>
      <c r="IW339" s="1"/>
      <c r="IX339" s="1"/>
      <c r="IY339" s="1"/>
      <c r="IZ339" s="1"/>
      <c r="JA339" s="1"/>
      <c r="JB339" s="1"/>
      <c r="JC339" s="178"/>
      <c r="JD339" s="135"/>
    </row>
    <row r="340" spans="9:264">
      <c r="I340" s="22"/>
      <c r="J340" s="156" t="s">
        <v>1106</v>
      </c>
      <c r="K340" s="156" t="s">
        <v>1106</v>
      </c>
      <c r="L340" s="22">
        <v>5</v>
      </c>
      <c r="M340" s="22">
        <v>56</v>
      </c>
      <c r="N340" s="22">
        <v>24.3</v>
      </c>
      <c r="O340" s="22">
        <v>-14</v>
      </c>
      <c r="P340" s="22">
        <v>-10</v>
      </c>
      <c r="Q340" s="22">
        <v>-4</v>
      </c>
      <c r="R340" s="22" t="s">
        <v>1107</v>
      </c>
      <c r="S340" s="22" t="s">
        <v>1108</v>
      </c>
      <c r="AJ340" s="175"/>
      <c r="AK340" s="175"/>
      <c r="AL340" s="175"/>
      <c r="AM340" s="175"/>
      <c r="AN340" s="175"/>
      <c r="AO340" s="175"/>
      <c r="AP340" s="175"/>
      <c r="AS340" s="3"/>
      <c r="BD340" s="97"/>
      <c r="EL340" s="3"/>
      <c r="EM340" s="3"/>
      <c r="FK340" s="135"/>
      <c r="HK340" s="170"/>
      <c r="HM340" s="1" t="s">
        <v>3700</v>
      </c>
      <c r="HN340" s="1">
        <f>IF(HN274=HM340,11,0)</f>
        <v>0</v>
      </c>
      <c r="IB340" s="170"/>
      <c r="IC340" s="405"/>
      <c r="ID340" s="527" t="s">
        <v>3874</v>
      </c>
      <c r="IE340" s="528" t="s">
        <v>3874</v>
      </c>
      <c r="IF340" s="37"/>
      <c r="IG340" s="37"/>
      <c r="IH340" s="37"/>
      <c r="II340" s="1"/>
      <c r="IJ340" s="1"/>
      <c r="IK340" s="1"/>
      <c r="IL340" s="1"/>
      <c r="IM340" s="405"/>
      <c r="IN340" s="178"/>
      <c r="IO340" s="1"/>
      <c r="IP340" s="1" t="s">
        <v>3766</v>
      </c>
      <c r="IQ340" s="205">
        <f>IF(IQ339&gt;0,1,0)</f>
        <v>0</v>
      </c>
      <c r="IR340" s="1"/>
      <c r="IS340" s="1"/>
      <c r="IT340" s="65">
        <v>0</v>
      </c>
      <c r="IU340" s="141"/>
      <c r="IV340" s="65" t="s">
        <v>3694</v>
      </c>
      <c r="IW340" s="65" t="s">
        <v>3694</v>
      </c>
      <c r="IX340" s="65" t="s">
        <v>3694</v>
      </c>
      <c r="IY340" s="65" t="s">
        <v>3694</v>
      </c>
      <c r="IZ340" s="65" t="s">
        <v>3694</v>
      </c>
      <c r="JA340" s="1"/>
      <c r="JB340" s="1"/>
      <c r="JC340" s="178"/>
      <c r="JD340" s="135"/>
    </row>
    <row r="341" spans="9:264">
      <c r="I341" s="22"/>
      <c r="J341" s="156" t="s">
        <v>1109</v>
      </c>
      <c r="K341" s="156" t="s">
        <v>1109</v>
      </c>
      <c r="L341" s="22">
        <v>5</v>
      </c>
      <c r="M341" s="22">
        <v>12</v>
      </c>
      <c r="N341" s="22">
        <v>55.9</v>
      </c>
      <c r="O341" s="22">
        <v>-16</v>
      </c>
      <c r="P341" s="22">
        <v>-12</v>
      </c>
      <c r="Q341" s="22">
        <v>-20</v>
      </c>
      <c r="R341" s="22" t="s">
        <v>1110</v>
      </c>
      <c r="S341" s="22" t="s">
        <v>1111</v>
      </c>
      <c r="AJ341" s="175"/>
      <c r="AK341" s="175"/>
      <c r="AL341" s="175"/>
      <c r="AM341" s="175"/>
      <c r="AN341" s="175"/>
      <c r="AO341" s="175"/>
      <c r="AP341" s="175"/>
      <c r="AS341" s="3"/>
      <c r="BD341" s="97"/>
      <c r="EL341" s="3"/>
      <c r="EM341" s="3"/>
      <c r="FK341" s="135"/>
      <c r="HK341" s="170"/>
      <c r="HM341" s="1" t="s">
        <v>3873</v>
      </c>
      <c r="HN341" s="1">
        <f>IF(HN274=HM341,11,0)</f>
        <v>0</v>
      </c>
      <c r="IB341" s="170"/>
      <c r="IC341" s="405"/>
      <c r="ID341" s="527" t="s">
        <v>3877</v>
      </c>
      <c r="IE341" s="528" t="s">
        <v>3877</v>
      </c>
      <c r="IF341" s="37"/>
      <c r="IG341" s="37" t="s">
        <v>4035</v>
      </c>
      <c r="IH341" s="37">
        <v>1</v>
      </c>
      <c r="II341" s="1"/>
      <c r="IJ341" s="1"/>
      <c r="IK341" s="1"/>
      <c r="IL341" s="1"/>
      <c r="IM341" s="405"/>
      <c r="IN341" s="178"/>
      <c r="IO341" s="1"/>
      <c r="IP341" s="1" t="s">
        <v>3769</v>
      </c>
      <c r="IQ341" s="1">
        <f>IF(IR338&lt;100,IR338,0)</f>
        <v>0</v>
      </c>
      <c r="IR341" s="1"/>
      <c r="IS341" s="1"/>
      <c r="IT341" s="65">
        <v>1</v>
      </c>
      <c r="IU341" s="141"/>
      <c r="IV341" s="65">
        <v>0</v>
      </c>
      <c r="IW341" s="65">
        <v>0</v>
      </c>
      <c r="IX341" s="65">
        <v>0</v>
      </c>
      <c r="IY341" s="65">
        <v>0</v>
      </c>
      <c r="IZ341" s="65">
        <v>0</v>
      </c>
      <c r="JA341" s="1"/>
      <c r="JB341" s="1"/>
      <c r="JC341" s="178"/>
      <c r="JD341" s="135"/>
    </row>
    <row r="342" spans="9:264">
      <c r="I342" s="24" t="s">
        <v>1112</v>
      </c>
      <c r="J342" s="157" t="s">
        <v>1113</v>
      </c>
      <c r="K342" s="157" t="s">
        <v>1113</v>
      </c>
      <c r="L342" s="24" t="s">
        <v>39</v>
      </c>
      <c r="M342" s="24" t="s">
        <v>1112</v>
      </c>
      <c r="N342" s="24" t="s">
        <v>1112</v>
      </c>
      <c r="O342" s="24" t="s">
        <v>40</v>
      </c>
      <c r="P342" s="24" t="s">
        <v>1114</v>
      </c>
      <c r="Q342" s="24" t="s">
        <v>1114</v>
      </c>
      <c r="R342" s="24" t="s">
        <v>1115</v>
      </c>
      <c r="S342" s="24" t="s">
        <v>1114</v>
      </c>
      <c r="AJ342" s="175"/>
      <c r="AK342" s="175"/>
      <c r="AL342" s="175"/>
      <c r="AM342" s="175"/>
      <c r="AN342" s="175"/>
      <c r="AO342" s="175"/>
      <c r="AP342" s="175"/>
      <c r="AS342" s="3"/>
      <c r="BD342" s="97"/>
      <c r="EL342" s="3"/>
      <c r="EM342" s="3"/>
      <c r="FK342" s="135"/>
      <c r="HK342" s="170"/>
      <c r="HM342" s="1" t="s">
        <v>3876</v>
      </c>
      <c r="HN342" s="1">
        <f>IF(HN274=HM342,11,0)</f>
        <v>0</v>
      </c>
      <c r="IB342" s="170"/>
      <c r="IC342" s="405"/>
      <c r="ID342" s="527" t="s">
        <v>3880</v>
      </c>
      <c r="IE342" s="528" t="s">
        <v>3880</v>
      </c>
      <c r="IF342" s="37"/>
      <c r="IG342" s="37" t="s">
        <v>3881</v>
      </c>
      <c r="IH342" s="37">
        <v>0</v>
      </c>
      <c r="II342" s="1"/>
      <c r="IJ342" s="1"/>
      <c r="IK342" s="1"/>
      <c r="IL342" s="1"/>
      <c r="IM342" s="405"/>
      <c r="IN342" s="178"/>
      <c r="IO342" s="1"/>
      <c r="IP342" s="1" t="s">
        <v>3771</v>
      </c>
      <c r="IQ342" s="205">
        <f>IF(IQ341&lt;10,0,2)</f>
        <v>0</v>
      </c>
      <c r="IR342" s="1"/>
      <c r="IS342" s="1"/>
      <c r="IT342" s="65">
        <v>2</v>
      </c>
      <c r="IU342" s="141"/>
      <c r="IV342" s="65" t="str">
        <f>""</f>
        <v/>
      </c>
      <c r="IW342" s="65">
        <v>0</v>
      </c>
      <c r="IX342" s="65">
        <v>0</v>
      </c>
      <c r="IY342" s="65">
        <v>0</v>
      </c>
      <c r="IZ342" s="65">
        <v>0</v>
      </c>
      <c r="JA342" s="1"/>
      <c r="JB342" s="1"/>
      <c r="JC342" s="178"/>
      <c r="JD342" s="135"/>
    </row>
    <row r="343" spans="9:264">
      <c r="I343" s="22"/>
      <c r="J343" s="156" t="s">
        <v>1116</v>
      </c>
      <c r="K343" s="156" t="s">
        <v>1116</v>
      </c>
      <c r="L343" s="22">
        <v>10</v>
      </c>
      <c r="M343" s="22">
        <v>8</v>
      </c>
      <c r="N343" s="22">
        <v>22.3</v>
      </c>
      <c r="O343" s="22">
        <v>11</v>
      </c>
      <c r="P343" s="22">
        <v>58</v>
      </c>
      <c r="Q343" s="22">
        <v>2</v>
      </c>
      <c r="R343" s="22" t="s">
        <v>1117</v>
      </c>
      <c r="S343" s="22" t="s">
        <v>1118</v>
      </c>
      <c r="AJ343" s="175"/>
      <c r="AK343" s="175"/>
      <c r="AL343" s="175"/>
      <c r="AM343" s="175"/>
      <c r="AN343" s="175"/>
      <c r="AO343" s="175"/>
      <c r="AP343" s="175"/>
      <c r="AS343" s="3"/>
      <c r="BD343" s="97"/>
      <c r="EL343" s="3"/>
      <c r="EM343" s="3"/>
      <c r="FK343" s="135"/>
      <c r="HK343" s="170"/>
      <c r="HM343" s="1" t="s">
        <v>3688</v>
      </c>
      <c r="HN343" s="170">
        <f>HN340+HN341+HN342</f>
        <v>0</v>
      </c>
      <c r="IB343" s="170"/>
      <c r="IC343" s="405"/>
      <c r="ID343" s="527" t="s">
        <v>3883</v>
      </c>
      <c r="IE343" s="528" t="s">
        <v>3883</v>
      </c>
      <c r="IF343" s="37"/>
      <c r="IG343" s="37" t="s">
        <v>3884</v>
      </c>
      <c r="IH343" s="37">
        <v>3</v>
      </c>
      <c r="II343" s="1"/>
      <c r="IJ343" s="1"/>
      <c r="IK343" s="1"/>
      <c r="IL343" s="1"/>
      <c r="IM343" s="405"/>
      <c r="IN343" s="178"/>
      <c r="IO343" s="1"/>
      <c r="IP343" s="1" t="s">
        <v>3816</v>
      </c>
      <c r="IQ343" s="1">
        <f>IF(IR338&lt;1000,IR338,0)</f>
        <v>0</v>
      </c>
      <c r="IR343" s="1"/>
      <c r="IS343" s="1"/>
      <c r="IT343" s="65">
        <v>3</v>
      </c>
      <c r="IU343" s="141"/>
      <c r="IV343" s="65" t="str">
        <f>""</f>
        <v/>
      </c>
      <c r="IW343" s="65" t="str">
        <f>""</f>
        <v/>
      </c>
      <c r="IX343" s="65">
        <v>0</v>
      </c>
      <c r="IY343" s="65">
        <v>0</v>
      </c>
      <c r="IZ343" s="65">
        <v>0</v>
      </c>
      <c r="JA343" s="1"/>
      <c r="JB343" s="1"/>
      <c r="JC343" s="178"/>
      <c r="JD343" s="135"/>
    </row>
    <row r="344" spans="9:264">
      <c r="I344" s="22"/>
      <c r="J344" s="156" t="s">
        <v>1119</v>
      </c>
      <c r="K344" s="156" t="s">
        <v>1119</v>
      </c>
      <c r="L344" s="22">
        <v>11</v>
      </c>
      <c r="M344" s="22">
        <v>49</v>
      </c>
      <c r="N344" s="22">
        <v>3.6</v>
      </c>
      <c r="O344" s="22">
        <v>14</v>
      </c>
      <c r="P344" s="22">
        <v>34</v>
      </c>
      <c r="Q344" s="22">
        <v>19</v>
      </c>
      <c r="R344" s="22" t="s">
        <v>1120</v>
      </c>
      <c r="S344" s="22" t="s">
        <v>1121</v>
      </c>
      <c r="AJ344" s="175"/>
      <c r="AK344" s="175"/>
      <c r="AL344" s="175"/>
      <c r="AM344" s="175"/>
      <c r="AN344" s="175"/>
      <c r="AO344" s="175"/>
      <c r="AP344" s="175"/>
      <c r="AS344" s="3"/>
      <c r="BD344" s="97"/>
      <c r="EL344" s="3"/>
      <c r="EM344" s="3"/>
      <c r="FK344" s="135"/>
      <c r="HK344" s="170"/>
      <c r="HM344" s="191">
        <v>12</v>
      </c>
      <c r="IB344" s="170"/>
      <c r="IC344" s="405"/>
      <c r="ID344" s="557"/>
      <c r="IE344" s="558"/>
      <c r="IF344" s="107"/>
      <c r="IG344" s="107"/>
      <c r="IH344" s="107"/>
      <c r="II344" s="1"/>
      <c r="IJ344" s="1"/>
      <c r="IK344" s="1"/>
      <c r="IL344" s="1"/>
      <c r="IM344" s="405"/>
      <c r="IN344" s="178"/>
      <c r="IO344" s="1"/>
      <c r="IP344" s="1" t="s">
        <v>3775</v>
      </c>
      <c r="IQ344" s="205">
        <f>IF(IQ343&lt;100,0,3)</f>
        <v>0</v>
      </c>
      <c r="IR344" s="1"/>
      <c r="IS344" s="1"/>
      <c r="IT344" s="65">
        <v>4</v>
      </c>
      <c r="IU344" s="141"/>
      <c r="IV344" s="65" t="str">
        <f>""</f>
        <v/>
      </c>
      <c r="IW344" s="65" t="str">
        <f>""</f>
        <v/>
      </c>
      <c r="IX344" s="65" t="str">
        <f>""</f>
        <v/>
      </c>
      <c r="IY344" s="65">
        <v>0</v>
      </c>
      <c r="IZ344" s="65">
        <v>0</v>
      </c>
      <c r="JA344" s="1"/>
      <c r="JB344" s="1"/>
      <c r="JC344" s="178"/>
      <c r="JD344" s="135"/>
    </row>
    <row r="345" spans="9:264">
      <c r="I345" s="22"/>
      <c r="J345" s="156" t="s">
        <v>1122</v>
      </c>
      <c r="K345" s="156" t="s">
        <v>1122</v>
      </c>
      <c r="L345" s="22">
        <v>10</v>
      </c>
      <c r="M345" s="22">
        <v>19</v>
      </c>
      <c r="N345" s="22">
        <v>58.4</v>
      </c>
      <c r="O345" s="22">
        <v>19</v>
      </c>
      <c r="P345" s="22">
        <v>50</v>
      </c>
      <c r="Q345" s="22">
        <v>29</v>
      </c>
      <c r="R345" s="22" t="s">
        <v>1123</v>
      </c>
      <c r="S345" s="22" t="s">
        <v>1124</v>
      </c>
      <c r="AJ345" s="175"/>
      <c r="AK345" s="175"/>
      <c r="AL345" s="175"/>
      <c r="AM345" s="175"/>
      <c r="AN345" s="175"/>
      <c r="AO345" s="175"/>
      <c r="AP345" s="175"/>
      <c r="AS345" s="3"/>
      <c r="BD345" s="97"/>
      <c r="EL345" s="3"/>
      <c r="EM345" s="3"/>
      <c r="FK345" s="135"/>
      <c r="HK345" s="170"/>
      <c r="HM345" s="1" t="s">
        <v>3887</v>
      </c>
      <c r="IB345" s="170"/>
      <c r="IC345" s="405"/>
      <c r="ID345" s="405"/>
      <c r="IE345" s="405"/>
      <c r="IF345" s="405"/>
      <c r="IG345" s="405"/>
      <c r="IH345" s="405"/>
      <c r="II345" s="405"/>
      <c r="IJ345" s="405"/>
      <c r="IK345" s="405"/>
      <c r="IL345" s="405"/>
      <c r="IM345" s="405"/>
      <c r="IN345" s="178"/>
      <c r="IO345" s="1"/>
      <c r="IP345" s="1" t="s">
        <v>3869</v>
      </c>
      <c r="IQ345" s="1">
        <f>IF(IR338&lt;10000,IR338,0)</f>
        <v>0</v>
      </c>
      <c r="IR345" s="1"/>
      <c r="IS345" s="1"/>
      <c r="IT345" s="65">
        <v>5</v>
      </c>
      <c r="IU345" s="141"/>
      <c r="IV345" s="65" t="str">
        <f>""</f>
        <v/>
      </c>
      <c r="IW345" s="65" t="str">
        <f>""</f>
        <v/>
      </c>
      <c r="IX345" s="65" t="str">
        <f>""</f>
        <v/>
      </c>
      <c r="IY345" s="65" t="str">
        <f>""</f>
        <v/>
      </c>
      <c r="IZ345" s="65">
        <v>0</v>
      </c>
      <c r="JA345" s="1"/>
      <c r="JB345" s="1"/>
      <c r="JC345" s="178"/>
      <c r="JD345" s="135"/>
    </row>
    <row r="346" spans="9:264">
      <c r="I346" s="22"/>
      <c r="J346" s="156" t="s">
        <v>1125</v>
      </c>
      <c r="K346" s="156" t="s">
        <v>1125</v>
      </c>
      <c r="L346" s="22">
        <v>11</v>
      </c>
      <c r="M346" s="22">
        <v>14</v>
      </c>
      <c r="N346" s="22">
        <v>6.6</v>
      </c>
      <c r="O346" s="22">
        <v>20</v>
      </c>
      <c r="P346" s="22">
        <v>31</v>
      </c>
      <c r="Q346" s="22">
        <v>25</v>
      </c>
      <c r="R346" s="22" t="s">
        <v>1126</v>
      </c>
      <c r="S346" s="22" t="s">
        <v>1127</v>
      </c>
      <c r="AJ346" s="175"/>
      <c r="AK346" s="175"/>
      <c r="AL346" s="175"/>
      <c r="AM346" s="175"/>
      <c r="AN346" s="175"/>
      <c r="AO346" s="175"/>
      <c r="AP346" s="175"/>
      <c r="AS346" s="3"/>
      <c r="BD346" s="97"/>
      <c r="EL346" s="3"/>
      <c r="EM346" s="3"/>
      <c r="FK346" s="135"/>
      <c r="HK346" s="170"/>
      <c r="HM346" s="1" t="s">
        <v>3705</v>
      </c>
      <c r="HN346" s="1">
        <f>IF(HN274=HM346,12,0)</f>
        <v>0</v>
      </c>
      <c r="IB346" s="170"/>
      <c r="IG346" s="1"/>
      <c r="IH346" s="1"/>
      <c r="II346" s="1"/>
      <c r="IJ346" s="1"/>
      <c r="IK346" s="1"/>
      <c r="IL346" s="1"/>
      <c r="IM346" s="1"/>
      <c r="IN346" s="178"/>
      <c r="IO346" s="1"/>
      <c r="IP346" s="1" t="s">
        <v>3872</v>
      </c>
      <c r="IQ346" s="205">
        <f>IF(IQ345&lt;1000,0,4)</f>
        <v>0</v>
      </c>
      <c r="IR346" s="1"/>
      <c r="IS346" s="1"/>
      <c r="IT346" s="65">
        <v>6</v>
      </c>
      <c r="IU346" s="141"/>
      <c r="IV346" s="65" t="str">
        <f>""</f>
        <v/>
      </c>
      <c r="IW346" s="65" t="str">
        <f>""</f>
        <v/>
      </c>
      <c r="IX346" s="65" t="str">
        <f>""</f>
        <v/>
      </c>
      <c r="IY346" s="65" t="str">
        <f>""</f>
        <v/>
      </c>
      <c r="IZ346" s="65" t="str">
        <f>""</f>
        <v/>
      </c>
      <c r="JA346" s="190">
        <f>IR338</f>
        <v>0</v>
      </c>
      <c r="JB346" s="1"/>
      <c r="JC346" s="178"/>
      <c r="JD346" s="135"/>
    </row>
    <row r="347" spans="9:264">
      <c r="I347" s="22"/>
      <c r="J347" s="156" t="s">
        <v>1128</v>
      </c>
      <c r="K347" s="156" t="s">
        <v>1128</v>
      </c>
      <c r="L347" s="22">
        <v>9</v>
      </c>
      <c r="M347" s="22">
        <v>45</v>
      </c>
      <c r="N347" s="22">
        <v>51.1</v>
      </c>
      <c r="O347" s="22">
        <v>23</v>
      </c>
      <c r="P347" s="22">
        <v>46</v>
      </c>
      <c r="Q347" s="22">
        <v>27</v>
      </c>
      <c r="R347" s="22" t="s">
        <v>1129</v>
      </c>
      <c r="S347" s="22" t="s">
        <v>1130</v>
      </c>
      <c r="AJ347" s="175"/>
      <c r="AK347" s="175"/>
      <c r="AL347" s="175"/>
      <c r="AM347" s="175"/>
      <c r="AN347" s="175"/>
      <c r="AO347" s="175"/>
      <c r="AP347" s="175"/>
      <c r="AS347" s="3"/>
      <c r="BD347" s="97"/>
      <c r="EL347" s="3"/>
      <c r="EM347" s="3"/>
      <c r="FK347" s="135"/>
      <c r="HK347" s="170"/>
      <c r="HM347" s="1" t="s">
        <v>3889</v>
      </c>
      <c r="HN347" s="1">
        <f>IF(HN274=HM347,12,0)</f>
        <v>0</v>
      </c>
      <c r="IB347" s="170"/>
      <c r="IG347" s="1"/>
      <c r="IH347" s="1"/>
      <c r="II347" s="1"/>
      <c r="IJ347" s="1"/>
      <c r="IK347" s="1"/>
      <c r="IL347" s="1"/>
      <c r="IM347" s="1"/>
      <c r="IN347" s="178"/>
      <c r="IO347" s="1"/>
      <c r="IP347" s="1" t="s">
        <v>3875</v>
      </c>
      <c r="IQ347" s="1">
        <f>IF(IR338&lt;100000,IR338,0)</f>
        <v>0</v>
      </c>
      <c r="IR347" s="1"/>
      <c r="IS347" s="1"/>
      <c r="IT347" s="187">
        <f>IQ338</f>
        <v>0</v>
      </c>
      <c r="IU347" s="141" t="s">
        <v>2069</v>
      </c>
      <c r="IV347" s="65" t="str">
        <f>LOOKUP(IT339,(IT340:IT346),(IV340:IV346))</f>
        <v>κ</v>
      </c>
      <c r="IW347" s="65" t="str">
        <f>LOOKUP(IT339,(IT340:IT346),(IW340:IW346))</f>
        <v>κ</v>
      </c>
      <c r="IX347" s="65" t="str">
        <f>LOOKUP(IT339,(IT340:IT346),(IX340:IX346))</f>
        <v>κ</v>
      </c>
      <c r="IY347" s="65" t="str">
        <f>LOOKUP(IT339,(IT340:IT346),(IY340:IY346))</f>
        <v>κ</v>
      </c>
      <c r="IZ347" s="65" t="str">
        <f>LOOKUP(IT339,(IT340:IT346),(IZ340:IZ346))</f>
        <v>κ</v>
      </c>
      <c r="JA347" s="118" t="str">
        <f>CONCATENATE(IT347,IU347,IV347,IW347,IX347,IY347,IZ347,JA346)</f>
        <v>0 κκκκκ0</v>
      </c>
      <c r="JB347" s="1"/>
      <c r="JC347" s="178"/>
      <c r="JD347" s="135"/>
    </row>
    <row r="348" spans="9:264">
      <c r="I348" s="22"/>
      <c r="J348" s="156" t="s">
        <v>1131</v>
      </c>
      <c r="K348" s="156" t="s">
        <v>1131</v>
      </c>
      <c r="L348" s="22">
        <v>10</v>
      </c>
      <c r="M348" s="22">
        <v>16</v>
      </c>
      <c r="N348" s="22">
        <v>41.4</v>
      </c>
      <c r="O348" s="22">
        <v>23</v>
      </c>
      <c r="P348" s="22">
        <v>25</v>
      </c>
      <c r="Q348" s="22">
        <v>2</v>
      </c>
      <c r="R348" s="22" t="s">
        <v>1132</v>
      </c>
      <c r="S348" s="22" t="s">
        <v>1133</v>
      </c>
      <c r="AJ348" s="175"/>
      <c r="AK348" s="175"/>
      <c r="AL348" s="175"/>
      <c r="AM348" s="175"/>
      <c r="AN348" s="175"/>
      <c r="AO348" s="175"/>
      <c r="AP348" s="175"/>
      <c r="AS348" s="3"/>
      <c r="BD348" s="97"/>
      <c r="EL348" s="3"/>
      <c r="EM348" s="3"/>
      <c r="FK348" s="135"/>
      <c r="HK348" s="170"/>
      <c r="HM348" s="1" t="s">
        <v>3890</v>
      </c>
      <c r="HN348" s="1">
        <f>IF(HN274=HM348,12,0)</f>
        <v>0</v>
      </c>
      <c r="IB348" s="170"/>
      <c r="IG348" s="1"/>
      <c r="IH348" s="1"/>
      <c r="II348" s="1"/>
      <c r="IJ348" s="1"/>
      <c r="IK348" s="1"/>
      <c r="IL348" s="1"/>
      <c r="IM348" s="1"/>
      <c r="IN348" s="178"/>
      <c r="IO348" s="1"/>
      <c r="IP348" s="1" t="s">
        <v>3878</v>
      </c>
      <c r="IQ348" s="205">
        <f>IF(IQ347&lt;10000,0,5)</f>
        <v>0</v>
      </c>
      <c r="IR348" s="1"/>
      <c r="IS348" s="1"/>
      <c r="IT348" s="1"/>
      <c r="IU348" s="1"/>
      <c r="IV348" s="1"/>
      <c r="IW348" s="1"/>
      <c r="IX348" s="1"/>
      <c r="IY348" s="1"/>
      <c r="IZ348" s="1"/>
      <c r="JA348" s="1"/>
      <c r="JB348" s="1"/>
      <c r="JC348" s="178"/>
      <c r="JD348" s="135"/>
    </row>
    <row r="349" spans="9:264">
      <c r="I349" s="22"/>
      <c r="J349" s="156" t="s">
        <v>1134</v>
      </c>
      <c r="K349" s="156" t="s">
        <v>1134</v>
      </c>
      <c r="L349" s="22">
        <v>10</v>
      </c>
      <c r="M349" s="22">
        <v>7</v>
      </c>
      <c r="N349" s="22">
        <v>20</v>
      </c>
      <c r="O349" s="22">
        <v>16</v>
      </c>
      <c r="P349" s="22">
        <v>45</v>
      </c>
      <c r="Q349" s="22">
        <v>46</v>
      </c>
      <c r="R349" s="22" t="s">
        <v>1135</v>
      </c>
      <c r="S349" s="22" t="s">
        <v>1136</v>
      </c>
      <c r="AJ349" s="175"/>
      <c r="AK349" s="175"/>
      <c r="AL349" s="175"/>
      <c r="AM349" s="175"/>
      <c r="AN349" s="175"/>
      <c r="AO349" s="175"/>
      <c r="AP349" s="175"/>
      <c r="AS349" s="3"/>
      <c r="BD349" s="97"/>
      <c r="EL349" s="3"/>
      <c r="EM349" s="3"/>
      <c r="FK349" s="135"/>
      <c r="HK349" s="170"/>
      <c r="HM349" s="1" t="s">
        <v>3892</v>
      </c>
      <c r="HN349" s="1">
        <f>IF(HN274=HM349,12,0)</f>
        <v>0</v>
      </c>
      <c r="IB349" s="170"/>
      <c r="IG349" s="1"/>
      <c r="IH349" s="1"/>
      <c r="II349" s="1"/>
      <c r="IJ349" s="1"/>
      <c r="IK349" s="1"/>
      <c r="IL349" s="1"/>
      <c r="IM349" s="1"/>
      <c r="IN349" s="178"/>
      <c r="IO349" s="1"/>
      <c r="IP349" s="1" t="s">
        <v>3882</v>
      </c>
      <c r="IQ349" s="1">
        <f>IF(IR338&lt;1000000,IR338,0)</f>
        <v>0</v>
      </c>
      <c r="IR349" s="1"/>
      <c r="IS349" s="1"/>
      <c r="IT349" s="1"/>
      <c r="IU349" s="1"/>
      <c r="IV349" s="1"/>
      <c r="IW349" s="1"/>
      <c r="IX349" s="1"/>
      <c r="IY349" s="1"/>
      <c r="IZ349" s="1"/>
      <c r="JA349" s="1"/>
      <c r="JB349" s="1"/>
      <c r="JC349" s="178"/>
      <c r="JD349" s="135"/>
    </row>
    <row r="350" spans="9:264">
      <c r="I350" s="22"/>
      <c r="J350" s="156" t="s">
        <v>1137</v>
      </c>
      <c r="K350" s="156" t="s">
        <v>1137</v>
      </c>
      <c r="L350" s="22">
        <v>11</v>
      </c>
      <c r="M350" s="22">
        <v>14</v>
      </c>
      <c r="N350" s="22">
        <v>14.4</v>
      </c>
      <c r="O350" s="22">
        <v>15</v>
      </c>
      <c r="P350" s="22">
        <v>25</v>
      </c>
      <c r="Q350" s="22">
        <v>46</v>
      </c>
      <c r="R350" s="22" t="s">
        <v>1138</v>
      </c>
      <c r="S350" s="22" t="s">
        <v>1139</v>
      </c>
      <c r="AJ350" s="175"/>
      <c r="AK350" s="175"/>
      <c r="AL350" s="175"/>
      <c r="AM350" s="175"/>
      <c r="AN350" s="175"/>
      <c r="AO350" s="175"/>
      <c r="AP350" s="175"/>
      <c r="AS350" s="3"/>
      <c r="BD350" s="97"/>
      <c r="EL350" s="3"/>
      <c r="EM350" s="3"/>
      <c r="FK350" s="135"/>
      <c r="HK350" s="170"/>
      <c r="HM350" s="1" t="s">
        <v>3688</v>
      </c>
      <c r="HN350" s="170">
        <f>HN346+HN347+HN348+HN349</f>
        <v>0</v>
      </c>
      <c r="IB350" s="170"/>
      <c r="IG350" s="1"/>
      <c r="IH350" s="1"/>
      <c r="II350" s="1"/>
      <c r="IJ350" s="1"/>
      <c r="IK350" s="1"/>
      <c r="IL350" s="1"/>
      <c r="IM350" s="1"/>
      <c r="IN350" s="178"/>
      <c r="IO350" s="1"/>
      <c r="IP350" s="1" t="s">
        <v>3885</v>
      </c>
      <c r="IQ350" s="205">
        <f>IF(IQ349&lt;100000,0,6)</f>
        <v>0</v>
      </c>
      <c r="IR350" s="1"/>
      <c r="IS350" s="1"/>
      <c r="IT350" s="1"/>
      <c r="IU350" s="1"/>
      <c r="IV350" s="1"/>
      <c r="IW350" s="1"/>
      <c r="IX350" s="1"/>
      <c r="IY350" s="1"/>
      <c r="IZ350" s="1"/>
      <c r="JA350" s="1"/>
      <c r="JB350" s="1"/>
      <c r="JC350" s="178"/>
      <c r="JD350" s="135"/>
    </row>
    <row r="351" spans="9:264">
      <c r="I351" s="22"/>
      <c r="J351" s="156" t="s">
        <v>1140</v>
      </c>
      <c r="K351" s="156" t="s">
        <v>1140</v>
      </c>
      <c r="L351" s="22">
        <v>11</v>
      </c>
      <c r="M351" s="22">
        <v>23</v>
      </c>
      <c r="N351" s="22">
        <v>55.5</v>
      </c>
      <c r="O351" s="22">
        <v>10</v>
      </c>
      <c r="P351" s="22">
        <v>31</v>
      </c>
      <c r="Q351" s="22">
        <v>46</v>
      </c>
      <c r="R351" s="22" t="s">
        <v>1141</v>
      </c>
      <c r="S351" s="22" t="s">
        <v>1142</v>
      </c>
      <c r="AJ351" s="175"/>
      <c r="AK351" s="175"/>
      <c r="AL351" s="175"/>
      <c r="AM351" s="175"/>
      <c r="AN351" s="175"/>
      <c r="AO351" s="175"/>
      <c r="AP351" s="175"/>
      <c r="AS351" s="3"/>
      <c r="BD351" s="97"/>
      <c r="EL351" s="3"/>
      <c r="EM351" s="3"/>
      <c r="FK351" s="135"/>
      <c r="HK351" s="170"/>
      <c r="HM351" s="191">
        <v>13</v>
      </c>
      <c r="IB351" s="170"/>
      <c r="IG351" s="1"/>
      <c r="IH351" s="1"/>
      <c r="II351" s="1"/>
      <c r="IJ351" s="1"/>
      <c r="IK351" s="1"/>
      <c r="IL351" s="1"/>
      <c r="IM351" s="1"/>
      <c r="IN351" s="178"/>
      <c r="IO351" s="1"/>
      <c r="IP351" s="1" t="s">
        <v>3688</v>
      </c>
      <c r="IQ351" s="548">
        <f>IQ340+IQ342+IQ344+IQ346+IQ348+IQ350</f>
        <v>0</v>
      </c>
      <c r="IR351" s="1"/>
      <c r="IS351" s="1"/>
      <c r="IT351" s="1"/>
      <c r="IU351" s="1"/>
      <c r="IV351" s="1"/>
      <c r="IW351" s="1"/>
      <c r="IX351" s="1"/>
      <c r="IY351" s="1"/>
      <c r="IZ351" s="1"/>
      <c r="JA351" s="1"/>
      <c r="JB351" s="1"/>
      <c r="JC351" s="178"/>
      <c r="JD351" s="135"/>
    </row>
    <row r="352" spans="9:264">
      <c r="I352" s="22"/>
      <c r="J352" s="156" t="s">
        <v>1143</v>
      </c>
      <c r="K352" s="156" t="s">
        <v>1143</v>
      </c>
      <c r="L352" s="22">
        <v>9</v>
      </c>
      <c r="M352" s="22">
        <v>31</v>
      </c>
      <c r="N352" s="22">
        <v>43.2</v>
      </c>
      <c r="O352" s="22">
        <v>22</v>
      </c>
      <c r="P352" s="22">
        <v>58</v>
      </c>
      <c r="Q352" s="22">
        <v>5</v>
      </c>
      <c r="R352" s="22" t="s">
        <v>1144</v>
      </c>
      <c r="S352" s="22" t="s">
        <v>1145</v>
      </c>
      <c r="AJ352" s="175"/>
      <c r="AK352" s="175"/>
      <c r="AL352" s="175"/>
      <c r="AM352" s="175"/>
      <c r="AN352" s="175"/>
      <c r="AO352" s="175"/>
      <c r="AP352" s="175"/>
      <c r="AS352" s="3"/>
      <c r="BD352" s="97"/>
      <c r="EL352" s="3"/>
      <c r="EM352" s="3"/>
      <c r="FK352" s="135"/>
      <c r="HK352" s="170"/>
      <c r="HM352" s="1" t="s">
        <v>3895</v>
      </c>
      <c r="IB352" s="170"/>
      <c r="IG352" s="1"/>
      <c r="IH352" s="1"/>
      <c r="II352" s="1"/>
      <c r="IJ352" s="1"/>
      <c r="IK352" s="1"/>
      <c r="IL352" s="1"/>
      <c r="IM352" s="1"/>
      <c r="IN352" s="178"/>
      <c r="IO352" s="1"/>
      <c r="IQ352" s="1"/>
      <c r="IR352" s="1"/>
      <c r="IS352" s="1"/>
      <c r="IT352" s="1"/>
      <c r="IU352" s="1"/>
      <c r="IV352" s="1"/>
      <c r="IW352" s="1"/>
      <c r="IX352" s="1"/>
      <c r="IY352" s="1"/>
      <c r="IZ352" s="1"/>
      <c r="JA352" s="1"/>
      <c r="JB352" s="1"/>
      <c r="JC352" s="178"/>
      <c r="JD352" s="135"/>
    </row>
    <row r="353" spans="9:264">
      <c r="I353" s="22"/>
      <c r="J353" s="156" t="s">
        <v>1146</v>
      </c>
      <c r="K353" s="156" t="s">
        <v>1146</v>
      </c>
      <c r="L353" s="22">
        <v>9</v>
      </c>
      <c r="M353" s="22">
        <v>52</v>
      </c>
      <c r="N353" s="22">
        <v>45.8</v>
      </c>
      <c r="O353" s="22">
        <v>26</v>
      </c>
      <c r="P353" s="22">
        <v>0</v>
      </c>
      <c r="Q353" s="22">
        <v>25</v>
      </c>
      <c r="R353" s="22" t="s">
        <v>1147</v>
      </c>
      <c r="S353" s="22" t="s">
        <v>1148</v>
      </c>
      <c r="AJ353" s="175"/>
      <c r="AK353" s="175"/>
      <c r="AL353" s="175"/>
      <c r="AM353" s="175"/>
      <c r="AN353" s="175"/>
      <c r="AO353" s="175"/>
      <c r="AP353" s="175"/>
      <c r="AS353" s="3"/>
      <c r="BD353" s="97"/>
      <c r="EL353" s="3"/>
      <c r="EM353" s="3"/>
      <c r="FK353" s="135"/>
      <c r="HK353" s="170"/>
      <c r="HM353" s="1" t="s">
        <v>3710</v>
      </c>
      <c r="HN353" s="1">
        <f>IF(HN274=HM353,13,0)</f>
        <v>0</v>
      </c>
      <c r="IB353" s="170"/>
      <c r="IG353" s="1"/>
      <c r="IH353" s="1"/>
      <c r="II353" s="1"/>
      <c r="IJ353" s="1"/>
      <c r="IK353" s="1"/>
      <c r="IL353" s="1"/>
      <c r="IM353" s="1"/>
      <c r="IN353" s="178"/>
      <c r="IO353" s="1"/>
      <c r="IP353" s="108" t="s">
        <v>4051</v>
      </c>
      <c r="IQ353" s="187">
        <f>IQ281</f>
        <v>0</v>
      </c>
      <c r="IR353" s="609" t="s">
        <v>2069</v>
      </c>
      <c r="IS353" s="141">
        <f>IQ282</f>
        <v>0</v>
      </c>
      <c r="IT353" s="1"/>
      <c r="IU353" s="1"/>
      <c r="IV353" s="1"/>
      <c r="IW353" s="1"/>
      <c r="IX353" s="1"/>
      <c r="IY353" s="1"/>
      <c r="IZ353" s="1"/>
      <c r="JA353" s="1"/>
      <c r="JB353" s="1"/>
      <c r="JC353" s="178"/>
      <c r="JD353" s="135"/>
    </row>
    <row r="354" spans="9:264">
      <c r="I354" s="22"/>
      <c r="J354" s="156" t="s">
        <v>1149</v>
      </c>
      <c r="K354" s="156" t="s">
        <v>1149</v>
      </c>
      <c r="L354" s="22">
        <v>11</v>
      </c>
      <c r="M354" s="22">
        <v>45</v>
      </c>
      <c r="N354" s="22">
        <v>51.6</v>
      </c>
      <c r="O354" s="22">
        <v>6</v>
      </c>
      <c r="P354" s="22">
        <v>31</v>
      </c>
      <c r="Q354" s="22">
        <v>46</v>
      </c>
      <c r="R354" s="22" t="s">
        <v>1150</v>
      </c>
      <c r="S354" s="22" t="s">
        <v>1151</v>
      </c>
      <c r="V354" s="5"/>
      <c r="W354" s="5"/>
      <c r="X354" s="283" t="s">
        <v>3101</v>
      </c>
      <c r="Y354" s="5"/>
      <c r="Z354" s="342"/>
      <c r="AA354" s="5"/>
      <c r="AB354" s="5"/>
      <c r="AC354" s="5"/>
      <c r="AD354" s="5"/>
      <c r="AE354" s="5"/>
      <c r="AF354" s="5"/>
      <c r="AG354" s="5"/>
      <c r="AJ354" s="175"/>
      <c r="AK354" s="175"/>
      <c r="AL354" s="175"/>
      <c r="AM354" s="175"/>
      <c r="AN354" s="175"/>
      <c r="AO354" s="175"/>
      <c r="AP354" s="175"/>
      <c r="AS354" s="3"/>
      <c r="BD354" s="97"/>
      <c r="EL354" s="3"/>
      <c r="EM354" s="3"/>
      <c r="FK354" s="135"/>
      <c r="HK354" s="170"/>
      <c r="HM354" s="1" t="s">
        <v>3898</v>
      </c>
      <c r="HN354" s="1">
        <f>IF(HN274=HM354,13,0)</f>
        <v>0</v>
      </c>
      <c r="IB354" s="170"/>
      <c r="IG354" s="1"/>
      <c r="IH354" s="1"/>
      <c r="II354" s="1"/>
      <c r="IJ354" s="1"/>
      <c r="IK354" s="1"/>
      <c r="IL354" s="1"/>
      <c r="IM354" s="1"/>
      <c r="IN354" s="178"/>
      <c r="IO354" s="1"/>
      <c r="IP354" s="1"/>
      <c r="IQ354" s="135" t="str">
        <f>CONCATENATE(IQ353,IR353,IS353)</f>
        <v>0 0</v>
      </c>
      <c r="IR354" s="1"/>
      <c r="IS354" s="1"/>
      <c r="IT354" s="1"/>
      <c r="IU354" s="1"/>
      <c r="IV354" s="1"/>
      <c r="IW354" s="1"/>
      <c r="IX354" s="1"/>
      <c r="IY354" s="1"/>
      <c r="IZ354" s="1"/>
      <c r="JA354" s="1"/>
      <c r="JB354" s="1"/>
      <c r="JC354" s="178"/>
      <c r="JD354" s="135"/>
    </row>
    <row r="355" spans="9:264">
      <c r="I355" s="22"/>
      <c r="J355" s="156" t="s">
        <v>1152</v>
      </c>
      <c r="K355" s="156" t="s">
        <v>1152</v>
      </c>
      <c r="L355" s="22">
        <v>10</v>
      </c>
      <c r="M355" s="22">
        <v>32</v>
      </c>
      <c r="N355" s="22">
        <v>48.7</v>
      </c>
      <c r="O355" s="22">
        <v>9</v>
      </c>
      <c r="P355" s="22">
        <v>18</v>
      </c>
      <c r="Q355" s="22">
        <v>24</v>
      </c>
      <c r="R355" s="22" t="s">
        <v>1153</v>
      </c>
      <c r="S355" s="22" t="s">
        <v>1154</v>
      </c>
      <c r="AJ355" s="175"/>
      <c r="AK355" s="175"/>
      <c r="AL355" s="175"/>
      <c r="AM355" s="175"/>
      <c r="AN355" s="175"/>
      <c r="AO355" s="175"/>
      <c r="AP355" s="175"/>
      <c r="AS355" s="3"/>
      <c r="BD355" s="97"/>
      <c r="EL355" s="3"/>
      <c r="EM355" s="3"/>
      <c r="FK355" s="135"/>
      <c r="HK355" s="170"/>
      <c r="HM355" s="1" t="s">
        <v>3901</v>
      </c>
      <c r="HN355" s="1">
        <f>IF(HN274=HM355,13,0)</f>
        <v>0</v>
      </c>
      <c r="IB355" s="170"/>
      <c r="IG355" s="1"/>
      <c r="IH355" s="1"/>
      <c r="II355" s="1"/>
      <c r="IJ355" s="1"/>
      <c r="IK355" s="1"/>
      <c r="IL355" s="1"/>
      <c r="IM355" s="1"/>
      <c r="IN355" s="178"/>
      <c r="IO355" s="1"/>
      <c r="IP355" s="1"/>
      <c r="IQ355" s="1"/>
      <c r="IR355" s="1"/>
      <c r="IS355" s="1"/>
      <c r="IT355" s="1"/>
      <c r="IU355" s="1"/>
      <c r="IV355" s="1"/>
      <c r="IW355" s="1"/>
      <c r="IX355" s="1"/>
      <c r="IY355" s="1"/>
      <c r="IZ355" s="1"/>
      <c r="JA355" s="1"/>
      <c r="JB355" s="1"/>
      <c r="JC355" s="178"/>
      <c r="JD355" s="135"/>
    </row>
    <row r="356" spans="9:264">
      <c r="I356" s="22"/>
      <c r="J356" s="156" t="s">
        <v>1155</v>
      </c>
      <c r="K356" s="156" t="s">
        <v>1155</v>
      </c>
      <c r="L356" s="22">
        <v>11</v>
      </c>
      <c r="M356" s="22">
        <v>21</v>
      </c>
      <c r="N356" s="22">
        <v>8.1999999999999993</v>
      </c>
      <c r="O356" s="22">
        <v>6</v>
      </c>
      <c r="P356" s="22">
        <v>1</v>
      </c>
      <c r="Q356" s="22">
        <v>46</v>
      </c>
      <c r="R356" s="22" t="s">
        <v>1156</v>
      </c>
      <c r="S356" s="22" t="s">
        <v>1157</v>
      </c>
      <c r="AI356" s="5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BD356" s="97"/>
      <c r="EL356" s="3"/>
      <c r="EM356" s="3"/>
      <c r="FK356" s="135"/>
      <c r="HK356" s="170"/>
      <c r="HM356" s="1" t="s">
        <v>3903</v>
      </c>
      <c r="HN356" s="1">
        <f>IF(HN274=HM356,13,0)</f>
        <v>0</v>
      </c>
      <c r="IB356" s="170"/>
      <c r="IG356" s="1"/>
      <c r="IH356" s="1"/>
      <c r="II356" s="1"/>
      <c r="IJ356" s="1"/>
      <c r="IK356" s="1"/>
      <c r="IL356" s="1"/>
      <c r="IM356" s="1"/>
      <c r="IN356" s="178"/>
      <c r="IO356" s="1"/>
      <c r="IP356" s="559" t="s">
        <v>3893</v>
      </c>
      <c r="IQ356" s="1"/>
      <c r="IR356" s="1"/>
      <c r="IS356" s="1"/>
      <c r="IT356" s="1"/>
      <c r="IU356" s="1"/>
      <c r="IV356" s="1"/>
      <c r="IW356" s="1"/>
      <c r="IX356" s="1"/>
      <c r="IY356" s="1"/>
      <c r="IZ356" s="1"/>
      <c r="JA356" s="1"/>
      <c r="JB356" s="1"/>
      <c r="JC356" s="178"/>
      <c r="JD356" s="135"/>
    </row>
    <row r="357" spans="9:264">
      <c r="I357" s="24" t="s">
        <v>1158</v>
      </c>
      <c r="J357" s="157" t="s">
        <v>1159</v>
      </c>
      <c r="K357" s="157" t="s">
        <v>1159</v>
      </c>
      <c r="L357" s="24" t="s">
        <v>39</v>
      </c>
      <c r="M357" s="24" t="s">
        <v>941</v>
      </c>
      <c r="N357" s="24" t="s">
        <v>1112</v>
      </c>
      <c r="O357" s="24" t="s">
        <v>40</v>
      </c>
      <c r="P357" s="24" t="s">
        <v>1160</v>
      </c>
      <c r="Q357" s="24" t="s">
        <v>1161</v>
      </c>
      <c r="R357" s="24" t="s">
        <v>1162</v>
      </c>
      <c r="S357" s="27" t="s">
        <v>1163</v>
      </c>
      <c r="AJ357" s="175"/>
      <c r="AK357" s="175"/>
      <c r="AL357" s="175"/>
      <c r="AM357" s="175"/>
      <c r="AN357" s="175"/>
      <c r="AO357" s="175"/>
      <c r="AP357" s="175"/>
      <c r="AS357" s="3"/>
      <c r="BD357" s="97"/>
      <c r="EL357" s="3"/>
      <c r="EM357" s="3"/>
      <c r="FK357" s="135"/>
      <c r="HK357" s="170"/>
      <c r="HM357" s="1" t="s">
        <v>3688</v>
      </c>
      <c r="HN357" s="170">
        <f>HN353+HN354+HN355+HN356</f>
        <v>0</v>
      </c>
      <c r="IB357" s="170"/>
      <c r="IG357" s="1"/>
      <c r="IH357" s="1"/>
      <c r="II357" s="1"/>
      <c r="IJ357" s="1"/>
      <c r="IK357" s="1"/>
      <c r="IL357" s="1"/>
      <c r="IM357" s="1"/>
      <c r="IN357" s="178"/>
      <c r="IO357" s="1"/>
      <c r="IP357" s="1" t="s">
        <v>3894</v>
      </c>
      <c r="IQ357" s="419">
        <f>IF(IQ284=2,IQ281,"")</f>
        <v>0</v>
      </c>
      <c r="IR357" s="1"/>
      <c r="IS357" s="1"/>
      <c r="IT357" s="1"/>
      <c r="IU357" s="1"/>
      <c r="IV357" s="1"/>
      <c r="IW357" s="1"/>
      <c r="IX357" s="1"/>
      <c r="IY357" s="1"/>
      <c r="IZ357" s="1"/>
      <c r="JA357" s="1"/>
      <c r="JB357" s="1"/>
      <c r="JC357" s="178"/>
      <c r="JD357" s="135"/>
    </row>
    <row r="358" spans="9:264">
      <c r="I358" s="22"/>
      <c r="J358" s="156" t="s">
        <v>1164</v>
      </c>
      <c r="K358" s="156" t="s">
        <v>1164</v>
      </c>
      <c r="L358" s="22">
        <v>9</v>
      </c>
      <c r="M358" s="22">
        <v>34</v>
      </c>
      <c r="N358" s="22">
        <v>13.4</v>
      </c>
      <c r="O358" s="22">
        <v>36</v>
      </c>
      <c r="P358" s="22">
        <v>23</v>
      </c>
      <c r="Q358" s="22">
        <v>51</v>
      </c>
      <c r="R358" s="22" t="s">
        <v>1165</v>
      </c>
      <c r="S358" s="23" t="s">
        <v>1166</v>
      </c>
      <c r="AJ358" s="175"/>
      <c r="AK358" s="175"/>
      <c r="AL358" s="175"/>
      <c r="AM358" s="175"/>
      <c r="AN358" s="175"/>
      <c r="AO358" s="175"/>
      <c r="AP358" s="175"/>
      <c r="AS358" s="3"/>
      <c r="BD358" s="97"/>
      <c r="EL358" s="3"/>
      <c r="EM358" s="3"/>
      <c r="FK358" s="135"/>
      <c r="HK358" s="170"/>
      <c r="HM358" s="191">
        <v>14</v>
      </c>
      <c r="IB358" s="170"/>
      <c r="IG358" s="1"/>
      <c r="IH358" s="1"/>
      <c r="II358" s="1"/>
      <c r="IJ358" s="1"/>
      <c r="IK358" s="1"/>
      <c r="IL358" s="1"/>
      <c r="IM358" s="1"/>
      <c r="IN358" s="178"/>
      <c r="IO358" s="1"/>
      <c r="IP358" s="409" t="s">
        <v>3896</v>
      </c>
      <c r="IQ358" s="537">
        <f>IF(IQ357="Μ",1,0)</f>
        <v>0</v>
      </c>
      <c r="IR358" s="1"/>
      <c r="IS358" s="1"/>
      <c r="IT358" s="1" t="s">
        <v>3767</v>
      </c>
      <c r="IU358" s="1"/>
      <c r="IV358" s="1"/>
      <c r="IW358" s="1"/>
      <c r="IX358" s="1"/>
      <c r="IY358" s="1"/>
      <c r="IZ358" s="1"/>
      <c r="JA358" s="1"/>
      <c r="JB358" s="1"/>
      <c r="JC358" s="178"/>
      <c r="JD358" s="135"/>
    </row>
    <row r="359" spans="9:264">
      <c r="I359" s="22"/>
      <c r="J359" s="156" t="s">
        <v>1167</v>
      </c>
      <c r="K359" s="156" t="s">
        <v>1167</v>
      </c>
      <c r="L359" s="22">
        <v>10</v>
      </c>
      <c r="M359" s="22">
        <v>7</v>
      </c>
      <c r="N359" s="22">
        <v>25.8</v>
      </c>
      <c r="O359" s="22">
        <v>35</v>
      </c>
      <c r="P359" s="22">
        <v>14</v>
      </c>
      <c r="Q359" s="22">
        <v>41</v>
      </c>
      <c r="R359" s="22" t="s">
        <v>1168</v>
      </c>
      <c r="S359" s="23" t="s">
        <v>1169</v>
      </c>
      <c r="AJ359" s="175"/>
      <c r="AK359" s="175"/>
      <c r="AL359" s="175"/>
      <c r="AM359" s="175"/>
      <c r="AN359" s="175"/>
      <c r="AO359" s="175"/>
      <c r="AP359" s="175"/>
      <c r="AS359" s="3"/>
      <c r="BD359" s="97"/>
      <c r="EL359" s="3"/>
      <c r="EM359" s="3"/>
      <c r="FK359" s="135"/>
      <c r="HK359" s="170"/>
      <c r="HM359" s="1" t="s">
        <v>3908</v>
      </c>
      <c r="IB359" s="170"/>
      <c r="IG359" s="1"/>
      <c r="IH359" s="1"/>
      <c r="II359" s="1"/>
      <c r="IJ359" s="1"/>
      <c r="IK359" s="1"/>
      <c r="IL359" s="1"/>
      <c r="IM359" s="1"/>
      <c r="IN359" s="178"/>
      <c r="IO359" s="1"/>
      <c r="IP359" s="409" t="s">
        <v>3897</v>
      </c>
      <c r="IQ359" s="537">
        <f>IF(IQ357="M",1,0)</f>
        <v>0</v>
      </c>
      <c r="IR359" s="1"/>
      <c r="IS359" s="1"/>
      <c r="IT359" s="1"/>
      <c r="IU359" s="1"/>
      <c r="IV359" s="1"/>
      <c r="IW359" s="1"/>
      <c r="IX359" s="1"/>
      <c r="IY359" s="1"/>
      <c r="IZ359" s="1"/>
      <c r="JA359" s="1"/>
      <c r="JB359" s="1"/>
      <c r="JC359" s="178"/>
      <c r="JD359" s="135"/>
    </row>
    <row r="360" spans="9:264">
      <c r="I360" s="22"/>
      <c r="J360" s="156" t="s">
        <v>1170</v>
      </c>
      <c r="K360" s="156" t="s">
        <v>1170</v>
      </c>
      <c r="L360" s="22">
        <v>10</v>
      </c>
      <c r="M360" s="22">
        <v>53</v>
      </c>
      <c r="N360" s="22">
        <v>18.7</v>
      </c>
      <c r="O360" s="22">
        <v>34</v>
      </c>
      <c r="P360" s="22">
        <v>12</v>
      </c>
      <c r="Q360" s="22">
        <v>54</v>
      </c>
      <c r="R360" s="22" t="s">
        <v>1171</v>
      </c>
      <c r="S360" s="23" t="s">
        <v>1172</v>
      </c>
      <c r="AJ360" s="175"/>
      <c r="AK360" s="175"/>
      <c r="AL360" s="175"/>
      <c r="AM360" s="175"/>
      <c r="AN360" s="175"/>
      <c r="AO360" s="175"/>
      <c r="AP360" s="175"/>
      <c r="AS360" s="3"/>
      <c r="BD360" s="97"/>
      <c r="EL360" s="3"/>
      <c r="EM360" s="3"/>
      <c r="FK360" s="135"/>
      <c r="HK360" s="170"/>
      <c r="HM360" s="1" t="s">
        <v>3715</v>
      </c>
      <c r="HN360" s="1">
        <f>IF(HN274=HM360,14,0)</f>
        <v>0</v>
      </c>
      <c r="IB360" s="170"/>
      <c r="IG360" s="1"/>
      <c r="IH360" s="1"/>
      <c r="II360" s="1"/>
      <c r="IJ360" s="1"/>
      <c r="IK360" s="1"/>
      <c r="IL360" s="1"/>
      <c r="IM360" s="1"/>
      <c r="IN360" s="178"/>
      <c r="IO360" s="1"/>
      <c r="IP360" s="409" t="s">
        <v>3899</v>
      </c>
      <c r="IQ360" s="537">
        <f>IF(IQ357="νγκ",2,0)</f>
        <v>0</v>
      </c>
      <c r="IR360" s="1"/>
      <c r="IS360" s="1"/>
      <c r="IT360" s="1"/>
      <c r="IU360" s="1"/>
      <c r="IV360" s="1"/>
      <c r="IW360" s="1"/>
      <c r="IX360" s="1"/>
      <c r="IY360" s="1"/>
      <c r="IZ360" s="1"/>
      <c r="JA360" s="1"/>
      <c r="JB360" s="1"/>
      <c r="JC360" s="178"/>
      <c r="JD360" s="135"/>
    </row>
    <row r="361" spans="9:264">
      <c r="I361" s="22"/>
      <c r="J361" s="156" t="s">
        <v>1173</v>
      </c>
      <c r="K361" s="156" t="s">
        <v>1173</v>
      </c>
      <c r="L361" s="22">
        <v>10</v>
      </c>
      <c r="M361" s="22">
        <v>27</v>
      </c>
      <c r="N361" s="22">
        <v>53</v>
      </c>
      <c r="O361" s="22">
        <v>36</v>
      </c>
      <c r="P361" s="22">
        <v>42</v>
      </c>
      <c r="Q361" s="22">
        <v>26</v>
      </c>
      <c r="R361" s="22" t="s">
        <v>1174</v>
      </c>
      <c r="S361" s="23" t="s">
        <v>1175</v>
      </c>
      <c r="AJ361" s="175"/>
      <c r="AK361" s="175"/>
      <c r="AL361" s="175"/>
      <c r="AM361" s="175"/>
      <c r="AN361" s="175"/>
      <c r="AO361" s="175"/>
      <c r="AP361" s="175"/>
      <c r="AS361" s="3"/>
      <c r="BD361" s="97"/>
      <c r="EL361" s="3"/>
      <c r="EM361" s="3"/>
      <c r="FK361" s="135"/>
      <c r="HK361" s="170"/>
      <c r="HM361" s="1" t="s">
        <v>3910</v>
      </c>
      <c r="HN361" s="1">
        <f>IF(HN274=HM361,14,0)</f>
        <v>0</v>
      </c>
      <c r="IB361" s="170"/>
      <c r="IG361" s="1"/>
      <c r="IH361" s="1"/>
      <c r="II361" s="1"/>
      <c r="IJ361" s="1"/>
      <c r="IK361" s="1"/>
      <c r="IL361" s="1"/>
      <c r="IM361" s="1"/>
      <c r="IN361" s="178"/>
      <c r="IO361" s="1"/>
      <c r="IP361" s="409" t="s">
        <v>3902</v>
      </c>
      <c r="IQ361" s="537">
        <f>IF(IQ357="εκ",2,0)</f>
        <v>0</v>
      </c>
      <c r="IR361" s="1"/>
      <c r="IS361" s="1"/>
      <c r="IT361" s="1"/>
      <c r="IU361" s="1"/>
      <c r="IV361" s="1"/>
      <c r="IW361" s="1"/>
      <c r="IX361" s="1"/>
      <c r="IY361" s="1"/>
      <c r="IZ361" s="1"/>
      <c r="JA361" s="1"/>
      <c r="JB361" s="1"/>
      <c r="JC361" s="178"/>
      <c r="JD361" s="135"/>
    </row>
    <row r="362" spans="9:264">
      <c r="I362" s="24" t="s">
        <v>1176</v>
      </c>
      <c r="J362" s="157" t="s">
        <v>1177</v>
      </c>
      <c r="K362" s="157" t="s">
        <v>1177</v>
      </c>
      <c r="L362" s="24" t="s">
        <v>39</v>
      </c>
      <c r="M362" s="24" t="s">
        <v>1176</v>
      </c>
      <c r="N362" s="24" t="s">
        <v>1176</v>
      </c>
      <c r="O362" s="24" t="s">
        <v>40</v>
      </c>
      <c r="P362" s="24" t="s">
        <v>1178</v>
      </c>
      <c r="Q362" s="24" t="s">
        <v>1179</v>
      </c>
      <c r="R362" s="24" t="s">
        <v>1180</v>
      </c>
      <c r="S362" s="24" t="s">
        <v>1178</v>
      </c>
      <c r="AJ362" s="175"/>
      <c r="AK362" s="175"/>
      <c r="AL362" s="175"/>
      <c r="AM362" s="175"/>
      <c r="AN362" s="175"/>
      <c r="AO362" s="175"/>
      <c r="AP362" s="175"/>
      <c r="AS362" s="3"/>
      <c r="BD362" s="97"/>
      <c r="EL362" s="3"/>
      <c r="EM362" s="3"/>
      <c r="FK362" s="135"/>
      <c r="HK362" s="170"/>
      <c r="HM362" s="1" t="s">
        <v>3688</v>
      </c>
      <c r="HN362" s="170">
        <f>HN360+HN361</f>
        <v>0</v>
      </c>
      <c r="IB362" s="170"/>
      <c r="IG362" s="1"/>
      <c r="IH362" s="1"/>
      <c r="II362" s="1"/>
      <c r="IJ362" s="1"/>
      <c r="IK362" s="1"/>
      <c r="IL362" s="1"/>
      <c r="IM362" s="1"/>
      <c r="IN362" s="178"/>
      <c r="IO362" s="1"/>
      <c r="IP362" s="409" t="s">
        <v>3904</v>
      </c>
      <c r="IQ362" s="537">
        <f>IF(IQ357="ω",4,0)</f>
        <v>0</v>
      </c>
      <c r="IR362" s="1"/>
      <c r="IS362" s="1"/>
      <c r="IT362" s="1"/>
      <c r="IU362" s="1"/>
      <c r="IV362" s="1"/>
      <c r="IW362" s="1"/>
      <c r="IX362" s="1"/>
      <c r="IY362" s="1"/>
      <c r="IZ362" s="1"/>
      <c r="JA362" s="1"/>
      <c r="JB362" s="1"/>
      <c r="JC362" s="178"/>
      <c r="JD362" s="135"/>
    </row>
    <row r="363" spans="9:264">
      <c r="I363" s="22"/>
      <c r="J363" s="156" t="s">
        <v>1181</v>
      </c>
      <c r="K363" s="156" t="s">
        <v>1181</v>
      </c>
      <c r="L363" s="22">
        <v>9</v>
      </c>
      <c r="M363" s="22">
        <v>21</v>
      </c>
      <c r="N363" s="22">
        <v>3.3</v>
      </c>
      <c r="O363" s="22">
        <v>34</v>
      </c>
      <c r="P363" s="22">
        <v>23</v>
      </c>
      <c r="Q363" s="22">
        <v>33</v>
      </c>
      <c r="R363" s="22" t="s">
        <v>1182</v>
      </c>
      <c r="S363" s="22" t="s">
        <v>1183</v>
      </c>
      <c r="AJ363" s="175"/>
      <c r="AK363" s="175"/>
      <c r="AL363" s="175"/>
      <c r="AM363" s="175"/>
      <c r="AN363" s="175"/>
      <c r="AO363" s="175"/>
      <c r="AP363" s="175"/>
      <c r="AS363" s="3"/>
      <c r="BD363" s="97"/>
      <c r="EL363" s="3"/>
      <c r="EM363" s="3"/>
      <c r="FK363" s="135"/>
      <c r="HK363" s="170"/>
      <c r="HM363" s="191">
        <v>15</v>
      </c>
      <c r="IB363" s="170"/>
      <c r="IG363" s="1"/>
      <c r="IH363" s="1"/>
      <c r="II363" s="1"/>
      <c r="IJ363" s="1"/>
      <c r="IK363" s="1"/>
      <c r="IL363" s="1"/>
      <c r="IM363" s="1"/>
      <c r="IN363" s="178"/>
      <c r="IO363" s="1"/>
      <c r="IP363" s="409" t="s">
        <v>3906</v>
      </c>
      <c r="IQ363" s="537">
        <f>IF(IQ283=IR283,10,0)</f>
        <v>0</v>
      </c>
      <c r="IR363" s="1"/>
      <c r="IS363" s="1"/>
      <c r="IT363" s="1"/>
      <c r="IU363" s="1"/>
      <c r="IV363" s="1"/>
      <c r="IW363" s="1"/>
      <c r="IX363" s="1"/>
      <c r="IY363" s="1"/>
      <c r="IZ363" s="1"/>
      <c r="JA363" s="1"/>
      <c r="JB363" s="1"/>
      <c r="JC363" s="178"/>
      <c r="JD363" s="135"/>
    </row>
    <row r="364" spans="9:264">
      <c r="I364" s="24" t="s">
        <v>1184</v>
      </c>
      <c r="J364" s="157" t="s">
        <v>1185</v>
      </c>
      <c r="K364" s="157" t="s">
        <v>1185</v>
      </c>
      <c r="L364" s="24" t="s">
        <v>39</v>
      </c>
      <c r="M364" s="24" t="s">
        <v>1184</v>
      </c>
      <c r="N364" s="24" t="s">
        <v>1184</v>
      </c>
      <c r="O364" s="24" t="s">
        <v>40</v>
      </c>
      <c r="P364" s="24" t="s">
        <v>1186</v>
      </c>
      <c r="Q364" s="24" t="s">
        <v>1187</v>
      </c>
      <c r="R364" s="24" t="s">
        <v>1188</v>
      </c>
      <c r="S364" s="24" t="s">
        <v>1186</v>
      </c>
      <c r="AJ364" s="175"/>
      <c r="AK364" s="175"/>
      <c r="AL364" s="175"/>
      <c r="AM364" s="175"/>
      <c r="AN364" s="175"/>
      <c r="AO364" s="175"/>
      <c r="AP364" s="175"/>
      <c r="AS364" s="3"/>
      <c r="BD364" s="97"/>
      <c r="EL364" s="3"/>
      <c r="EM364" s="3"/>
      <c r="FK364" s="135"/>
      <c r="HK364" s="170"/>
      <c r="HM364" s="1" t="s">
        <v>3914</v>
      </c>
      <c r="IB364" s="170"/>
      <c r="IG364" s="1"/>
      <c r="IH364" s="1"/>
      <c r="II364" s="1"/>
      <c r="IJ364" s="1"/>
      <c r="IK364" s="1"/>
      <c r="IL364" s="1"/>
      <c r="IM364" s="1"/>
      <c r="IN364" s="178"/>
      <c r="IO364" s="1"/>
      <c r="IP364" s="409" t="s">
        <v>4050</v>
      </c>
      <c r="IQ364" s="537">
        <f>IF(IQ357="ααα",5,0)</f>
        <v>0</v>
      </c>
      <c r="IR364" s="1"/>
      <c r="IS364" s="1"/>
      <c r="IT364" s="1"/>
      <c r="IU364" s="1"/>
      <c r="IV364" s="1"/>
      <c r="IW364" s="1"/>
      <c r="IX364" s="1"/>
      <c r="IY364" s="1"/>
      <c r="IZ364" s="1"/>
      <c r="JA364" s="1"/>
      <c r="JB364" s="1"/>
      <c r="JC364" s="178"/>
      <c r="JD364" s="135"/>
    </row>
    <row r="365" spans="9:264">
      <c r="I365" s="24" t="s">
        <v>1189</v>
      </c>
      <c r="J365" s="157" t="s">
        <v>1190</v>
      </c>
      <c r="K365" s="157" t="s">
        <v>1190</v>
      </c>
      <c r="L365" s="24" t="s">
        <v>39</v>
      </c>
      <c r="M365" s="24" t="s">
        <v>1189</v>
      </c>
      <c r="N365" s="24" t="s">
        <v>1189</v>
      </c>
      <c r="O365" s="24" t="s">
        <v>40</v>
      </c>
      <c r="P365" s="24" t="s">
        <v>1191</v>
      </c>
      <c r="Q365" s="24" t="s">
        <v>1192</v>
      </c>
      <c r="R365" s="24" t="s">
        <v>1193</v>
      </c>
      <c r="S365" s="24" t="s">
        <v>1191</v>
      </c>
      <c r="AJ365" s="175"/>
      <c r="AK365" s="175"/>
      <c r="AL365" s="175"/>
      <c r="AM365" s="175"/>
      <c r="AN365" s="175"/>
      <c r="AO365" s="175"/>
      <c r="AP365" s="175"/>
      <c r="AS365" s="3"/>
      <c r="BD365" s="97"/>
      <c r="EL365" s="3"/>
      <c r="EM365" s="3"/>
      <c r="FK365" s="135"/>
      <c r="HK365" s="170"/>
      <c r="HM365" s="1" t="s">
        <v>3718</v>
      </c>
      <c r="HN365" s="1">
        <f>IF(HN274=HM365,15,0)</f>
        <v>0</v>
      </c>
      <c r="IB365" s="170"/>
      <c r="IG365" s="1"/>
      <c r="IH365" s="1"/>
      <c r="II365" s="1"/>
      <c r="IJ365" s="1"/>
      <c r="IK365" s="1"/>
      <c r="IL365" s="1"/>
      <c r="IM365" s="1"/>
      <c r="IN365" s="178"/>
      <c r="IO365" s="1"/>
      <c r="IR365" s="1"/>
      <c r="IS365" s="561">
        <f>IQ366</f>
        <v>0</v>
      </c>
      <c r="IT365" s="1"/>
      <c r="IU365" s="1"/>
      <c r="IV365" s="1"/>
      <c r="IW365" s="1"/>
      <c r="IX365" s="1"/>
      <c r="IY365" s="1"/>
      <c r="IZ365" s="1"/>
      <c r="JA365" s="1"/>
      <c r="JB365" s="1"/>
      <c r="JC365" s="178"/>
      <c r="JD365" s="135"/>
    </row>
    <row r="366" spans="9:264">
      <c r="I366" s="22"/>
      <c r="J366" s="156" t="s">
        <v>1194</v>
      </c>
      <c r="K366" s="156" t="s">
        <v>1194</v>
      </c>
      <c r="L366" s="22">
        <v>18</v>
      </c>
      <c r="M366" s="22">
        <v>36</v>
      </c>
      <c r="N366" s="22">
        <v>56.3</v>
      </c>
      <c r="O366" s="22">
        <v>38</v>
      </c>
      <c r="P366" s="22">
        <v>47</v>
      </c>
      <c r="Q366" s="22">
        <v>1</v>
      </c>
      <c r="R366" s="22" t="s">
        <v>1195</v>
      </c>
      <c r="S366" s="22" t="s">
        <v>1196</v>
      </c>
      <c r="AJ366" s="175"/>
      <c r="AK366" s="175"/>
      <c r="AL366" s="175"/>
      <c r="AM366" s="175"/>
      <c r="AN366" s="175"/>
      <c r="AO366" s="175"/>
      <c r="AP366" s="175"/>
      <c r="AS366" s="3"/>
      <c r="BD366" s="97"/>
      <c r="EL366" s="3"/>
      <c r="EM366" s="3"/>
      <c r="FK366" s="135"/>
      <c r="HK366" s="170"/>
      <c r="HM366" s="1" t="s">
        <v>4053</v>
      </c>
      <c r="HN366" s="1">
        <f>IF(HN274=HM366,15,0)</f>
        <v>0</v>
      </c>
      <c r="IB366" s="170"/>
      <c r="IG366" s="1"/>
      <c r="IH366" s="1"/>
      <c r="II366" s="1"/>
      <c r="IJ366" s="1"/>
      <c r="IK366" s="1"/>
      <c r="IL366" s="1"/>
      <c r="IM366" s="1"/>
      <c r="IN366" s="178"/>
      <c r="IO366" s="1"/>
      <c r="IP366" s="200" t="s">
        <v>3096</v>
      </c>
      <c r="IQ366" s="560">
        <f>IQ358+IQ359+IQ360+IQ361+IQ362+IQ363+IQ364</f>
        <v>0</v>
      </c>
      <c r="IR366" s="1"/>
      <c r="IS366" s="69">
        <v>1</v>
      </c>
      <c r="IT366" s="69" t="s">
        <v>1220</v>
      </c>
      <c r="IU366" s="69" t="str">
        <f>IX308</f>
        <v>0 κκ0</v>
      </c>
      <c r="IV366" s="1"/>
      <c r="IW366" s="1"/>
      <c r="IX366" s="1"/>
      <c r="IY366" s="1"/>
      <c r="IZ366" s="1"/>
      <c r="JA366" s="1"/>
      <c r="JB366" s="1"/>
      <c r="JC366" s="178"/>
      <c r="JD366" s="135"/>
    </row>
    <row r="367" spans="9:264">
      <c r="I367" s="22"/>
      <c r="J367" s="156" t="s">
        <v>1197</v>
      </c>
      <c r="K367" s="156" t="s">
        <v>1197</v>
      </c>
      <c r="L367" s="22">
        <v>18</v>
      </c>
      <c r="M367" s="22">
        <v>50</v>
      </c>
      <c r="N367" s="22">
        <v>4.8</v>
      </c>
      <c r="O367" s="22">
        <v>33</v>
      </c>
      <c r="P367" s="22">
        <v>21</v>
      </c>
      <c r="Q367" s="22">
        <v>46</v>
      </c>
      <c r="R367" s="22" t="s">
        <v>1198</v>
      </c>
      <c r="S367" s="22" t="s">
        <v>1199</v>
      </c>
      <c r="AJ367" s="175"/>
      <c r="AK367" s="175"/>
      <c r="AL367" s="175"/>
      <c r="AM367" s="175"/>
      <c r="AN367" s="175"/>
      <c r="AO367" s="175"/>
      <c r="AP367" s="175"/>
      <c r="AS367" s="3"/>
      <c r="BD367" s="97"/>
      <c r="EL367" s="3"/>
      <c r="EM367" s="3"/>
      <c r="FK367" s="135"/>
      <c r="HK367" s="170"/>
      <c r="HM367" s="1" t="s">
        <v>3916</v>
      </c>
      <c r="HN367" s="1">
        <f>IF(HN274=HM367,15,0)</f>
        <v>0</v>
      </c>
      <c r="IB367" s="170"/>
      <c r="IG367" s="1"/>
      <c r="IH367" s="1"/>
      <c r="II367" s="1"/>
      <c r="IJ367" s="1"/>
      <c r="IK367" s="1"/>
      <c r="IL367" s="1"/>
      <c r="IM367" s="1"/>
      <c r="IN367" s="178"/>
      <c r="IO367" s="1"/>
      <c r="IP367" s="1"/>
      <c r="IQ367" s="1"/>
      <c r="IR367" s="1"/>
      <c r="IS367" s="37">
        <v>2</v>
      </c>
      <c r="IT367" s="37" t="s">
        <v>3911</v>
      </c>
      <c r="IU367" s="37" t="str">
        <f>IY323</f>
        <v>0 κκκ0</v>
      </c>
      <c r="IV367" s="1"/>
      <c r="IW367" s="1"/>
      <c r="IX367" s="1"/>
      <c r="IY367" s="1"/>
      <c r="IZ367" s="1"/>
      <c r="JA367" s="1"/>
      <c r="JB367" s="1"/>
      <c r="JC367" s="178"/>
      <c r="JD367" s="135"/>
    </row>
    <row r="368" spans="9:264">
      <c r="I368" s="22"/>
      <c r="J368" s="156" t="s">
        <v>1200</v>
      </c>
      <c r="K368" s="156" t="s">
        <v>1200</v>
      </c>
      <c r="L368" s="22">
        <v>18</v>
      </c>
      <c r="M368" s="22">
        <v>58</v>
      </c>
      <c r="N368" s="22">
        <v>55.6</v>
      </c>
      <c r="O368" s="22">
        <v>32</v>
      </c>
      <c r="P368" s="22">
        <v>41</v>
      </c>
      <c r="Q368" s="22">
        <v>22</v>
      </c>
      <c r="R368" s="22" t="s">
        <v>1201</v>
      </c>
      <c r="S368" s="22" t="s">
        <v>1202</v>
      </c>
      <c r="AJ368" s="175"/>
      <c r="AK368" s="175"/>
      <c r="AL368" s="175"/>
      <c r="AM368" s="175"/>
      <c r="AN368" s="175"/>
      <c r="AO368" s="175"/>
      <c r="AP368" s="175"/>
      <c r="AS368" s="3"/>
      <c r="BD368" s="97"/>
      <c r="EL368" s="3"/>
      <c r="EM368" s="3"/>
      <c r="FK368" s="135"/>
      <c r="HK368" s="170"/>
      <c r="HM368" s="1" t="s">
        <v>3918</v>
      </c>
      <c r="HN368" s="1">
        <f>IF(HN274=HM368,15,0)</f>
        <v>0</v>
      </c>
      <c r="IB368" s="170"/>
      <c r="IG368" s="1"/>
      <c r="IH368" s="1"/>
      <c r="II368" s="1"/>
      <c r="IJ368" s="1"/>
      <c r="IK368" s="1"/>
      <c r="IL368" s="1"/>
      <c r="IM368" s="1"/>
      <c r="IN368" s="178"/>
      <c r="IO368" s="1"/>
      <c r="IP368" s="1"/>
      <c r="IQ368" s="1"/>
      <c r="IR368" s="1"/>
      <c r="IS368" s="37">
        <v>3</v>
      </c>
      <c r="IT368" s="37"/>
      <c r="IU368" s="37"/>
      <c r="IV368" s="1"/>
      <c r="IW368" s="1"/>
      <c r="IX368" s="1"/>
      <c r="IY368" s="1"/>
      <c r="IZ368" s="1"/>
      <c r="JA368" s="1"/>
      <c r="JB368" s="1"/>
      <c r="JC368" s="178"/>
      <c r="JD368" s="135"/>
    </row>
    <row r="369" spans="9:264">
      <c r="I369" s="22"/>
      <c r="J369" s="156" t="s">
        <v>1203</v>
      </c>
      <c r="K369" s="156" t="s">
        <v>1203</v>
      </c>
      <c r="L369" s="22">
        <v>18</v>
      </c>
      <c r="M369" s="22">
        <v>54</v>
      </c>
      <c r="N369" s="22">
        <v>30.3</v>
      </c>
      <c r="O369" s="22">
        <v>36</v>
      </c>
      <c r="P369" s="22">
        <v>53</v>
      </c>
      <c r="Q369" s="22">
        <v>55</v>
      </c>
      <c r="R369" s="22" t="s">
        <v>1204</v>
      </c>
      <c r="S369" s="22" t="s">
        <v>1205</v>
      </c>
      <c r="AJ369" s="175"/>
      <c r="AK369" s="175"/>
      <c r="AL369" s="175"/>
      <c r="AM369" s="175"/>
      <c r="AN369" s="175"/>
      <c r="AO369" s="175"/>
      <c r="AP369" s="175"/>
      <c r="AS369" s="3"/>
      <c r="BD369" s="97"/>
      <c r="EL369" s="3"/>
      <c r="EM369" s="3"/>
      <c r="FK369" s="135"/>
      <c r="HK369" s="170"/>
      <c r="HM369" s="1" t="s">
        <v>3688</v>
      </c>
      <c r="HN369" s="170">
        <f>HN368+HN367+HN365+HN366</f>
        <v>0</v>
      </c>
      <c r="IB369" s="170"/>
      <c r="IG369" s="1"/>
      <c r="IH369" s="1"/>
      <c r="II369" s="1"/>
      <c r="IJ369" s="1"/>
      <c r="IK369" s="1"/>
      <c r="IL369" s="1"/>
      <c r="IM369" s="1"/>
      <c r="IN369" s="178"/>
      <c r="IO369" s="1"/>
      <c r="IP369" s="1"/>
      <c r="IQ369" s="1"/>
      <c r="IR369" s="1"/>
      <c r="IS369" s="37">
        <v>4</v>
      </c>
      <c r="IT369" s="37" t="s">
        <v>3913</v>
      </c>
      <c r="IU369" s="37" t="str">
        <f>JA347</f>
        <v>0 κκκκκ0</v>
      </c>
      <c r="IV369" s="1"/>
      <c r="IW369" s="1"/>
      <c r="IX369" s="1"/>
      <c r="IY369" s="1"/>
      <c r="IZ369" s="1"/>
      <c r="JA369" s="1"/>
      <c r="JB369" s="1"/>
      <c r="JC369" s="178"/>
      <c r="JD369" s="135"/>
    </row>
    <row r="370" spans="9:264">
      <c r="I370" s="22"/>
      <c r="J370" s="156" t="s">
        <v>1206</v>
      </c>
      <c r="K370" s="156" t="s">
        <v>1206</v>
      </c>
      <c r="L370" s="22">
        <v>18</v>
      </c>
      <c r="M370" s="22">
        <v>44</v>
      </c>
      <c r="N370" s="22">
        <v>20.3</v>
      </c>
      <c r="O370" s="22">
        <v>39</v>
      </c>
      <c r="P370" s="22">
        <v>40</v>
      </c>
      <c r="Q370" s="22">
        <v>12</v>
      </c>
      <c r="R370" s="22" t="s">
        <v>1207</v>
      </c>
      <c r="S370" s="22" t="s">
        <v>1208</v>
      </c>
      <c r="AJ370" s="175"/>
      <c r="AK370" s="175"/>
      <c r="AL370" s="175"/>
      <c r="AM370" s="175"/>
      <c r="AN370" s="175"/>
      <c r="AO370" s="175"/>
      <c r="AP370" s="175"/>
      <c r="AS370" s="3"/>
      <c r="BD370" s="97"/>
      <c r="EL370" s="3"/>
      <c r="EM370" s="3"/>
      <c r="FK370" s="135"/>
      <c r="HK370" s="170"/>
      <c r="HM370" s="191">
        <v>16</v>
      </c>
      <c r="IB370" s="170"/>
      <c r="IG370" s="1"/>
      <c r="IH370" s="1"/>
      <c r="II370" s="1"/>
      <c r="IJ370" s="1"/>
      <c r="IK370" s="1"/>
      <c r="IL370" s="1"/>
      <c r="IM370" s="1"/>
      <c r="IN370" s="178"/>
      <c r="IO370" s="1"/>
      <c r="IR370" s="1"/>
      <c r="IS370" s="37">
        <v>5</v>
      </c>
      <c r="IT370" s="37" t="s">
        <v>4049</v>
      </c>
      <c r="IU370" s="37" t="str">
        <f>IQ354</f>
        <v>0 0</v>
      </c>
      <c r="IV370" s="1"/>
      <c r="IW370" s="1"/>
      <c r="IX370" s="1"/>
      <c r="IY370" s="1"/>
      <c r="IZ370" s="1"/>
      <c r="JA370" s="1"/>
      <c r="JB370" s="1"/>
      <c r="JC370" s="178"/>
      <c r="JD370" s="135"/>
    </row>
    <row r="371" spans="9:264">
      <c r="I371" s="22"/>
      <c r="J371" s="156" t="s">
        <v>1209</v>
      </c>
      <c r="K371" s="156" t="s">
        <v>1209</v>
      </c>
      <c r="L371" s="22">
        <v>18</v>
      </c>
      <c r="M371" s="22">
        <v>44</v>
      </c>
      <c r="N371" s="22">
        <v>46.4</v>
      </c>
      <c r="O371" s="22">
        <v>37</v>
      </c>
      <c r="P371" s="22">
        <v>36</v>
      </c>
      <c r="Q371" s="22">
        <v>16</v>
      </c>
      <c r="R371" s="22" t="s">
        <v>1210</v>
      </c>
      <c r="S371" s="22" t="s">
        <v>1211</v>
      </c>
      <c r="AJ371" s="175"/>
      <c r="AK371" s="175"/>
      <c r="AL371" s="175"/>
      <c r="AM371" s="175"/>
      <c r="AN371" s="175"/>
      <c r="AO371" s="175"/>
      <c r="AP371" s="175"/>
      <c r="AS371" s="3"/>
      <c r="BD371" s="97"/>
      <c r="EL371" s="3"/>
      <c r="EM371" s="3"/>
      <c r="FK371" s="135"/>
      <c r="HK371" s="170"/>
      <c r="HM371" s="1" t="s">
        <v>3920</v>
      </c>
      <c r="IB371" s="170"/>
      <c r="IG371" s="1"/>
      <c r="IH371" s="1"/>
      <c r="II371" s="1"/>
      <c r="IJ371" s="1"/>
      <c r="IK371" s="1"/>
      <c r="IL371" s="1"/>
      <c r="IM371" s="1"/>
      <c r="IN371" s="178"/>
      <c r="IO371" s="1"/>
      <c r="IP371" s="1"/>
      <c r="IQ371" s="1"/>
      <c r="IR371" s="1"/>
      <c r="IS371" s="37">
        <v>6</v>
      </c>
      <c r="IT371" s="37"/>
      <c r="IU371" s="37"/>
      <c r="IV371" s="1"/>
      <c r="IW371" s="1"/>
      <c r="IX371" s="1"/>
      <c r="IY371" s="1"/>
      <c r="IZ371" s="1"/>
      <c r="JA371" s="1"/>
      <c r="JB371" s="1"/>
      <c r="JC371" s="178"/>
      <c r="JD371" s="135"/>
    </row>
    <row r="372" spans="9:264">
      <c r="I372" s="22"/>
      <c r="J372" s="156" t="s">
        <v>1212</v>
      </c>
      <c r="K372" s="156" t="s">
        <v>1212</v>
      </c>
      <c r="L372" s="22">
        <v>19</v>
      </c>
      <c r="M372" s="22">
        <v>13</v>
      </c>
      <c r="N372" s="22">
        <v>45.5</v>
      </c>
      <c r="O372" s="22">
        <v>39</v>
      </c>
      <c r="P372" s="22">
        <v>8</v>
      </c>
      <c r="Q372" s="22">
        <v>45</v>
      </c>
      <c r="R372" s="22" t="s">
        <v>1213</v>
      </c>
      <c r="S372" s="22" t="s">
        <v>1214</v>
      </c>
      <c r="AJ372" s="175"/>
      <c r="AK372" s="175"/>
      <c r="AL372" s="175"/>
      <c r="AM372" s="175"/>
      <c r="AN372" s="175"/>
      <c r="AO372" s="175"/>
      <c r="AP372" s="175"/>
      <c r="AS372" s="3"/>
      <c r="BD372" s="97"/>
      <c r="EL372" s="3"/>
      <c r="EM372" s="3"/>
      <c r="FK372" s="135"/>
      <c r="HK372" s="170"/>
      <c r="HM372" s="1" t="s">
        <v>3722</v>
      </c>
      <c r="HN372" s="1">
        <f>IF(HN274=HM372,16,0)</f>
        <v>0</v>
      </c>
      <c r="IB372" s="170"/>
      <c r="IG372" s="1"/>
      <c r="IH372" s="1"/>
      <c r="II372" s="1"/>
      <c r="IJ372" s="1"/>
      <c r="IK372" s="1"/>
      <c r="IL372" s="1"/>
      <c r="IM372" s="1"/>
      <c r="IN372" s="178"/>
      <c r="IO372" s="1"/>
      <c r="IP372" s="1"/>
      <c r="IQ372" s="1"/>
      <c r="IR372" s="1"/>
      <c r="IS372" s="37">
        <v>7</v>
      </c>
      <c r="IT372" s="37"/>
      <c r="IU372" s="37"/>
      <c r="IV372" s="1"/>
      <c r="IW372" s="1"/>
      <c r="IX372" s="1"/>
      <c r="IY372" s="1"/>
      <c r="IZ372" s="1"/>
      <c r="JA372" s="1"/>
      <c r="JB372" s="1"/>
      <c r="JC372" s="178"/>
      <c r="JD372" s="135"/>
    </row>
    <row r="373" spans="9:264">
      <c r="I373" s="22"/>
      <c r="J373" s="156" t="s">
        <v>1215</v>
      </c>
      <c r="K373" s="156" t="s">
        <v>1215</v>
      </c>
      <c r="L373" s="22">
        <v>19</v>
      </c>
      <c r="M373" s="22">
        <v>16</v>
      </c>
      <c r="N373" s="22">
        <v>22.1</v>
      </c>
      <c r="O373" s="22">
        <v>38</v>
      </c>
      <c r="P373" s="22">
        <v>8</v>
      </c>
      <c r="Q373" s="22">
        <v>1</v>
      </c>
      <c r="R373" s="22" t="s">
        <v>1216</v>
      </c>
      <c r="S373" s="22" t="s">
        <v>1217</v>
      </c>
      <c r="AJ373" s="175"/>
      <c r="AK373" s="175"/>
      <c r="AL373" s="175"/>
      <c r="AM373" s="175"/>
      <c r="AN373" s="175"/>
      <c r="AO373" s="175"/>
      <c r="AP373" s="175"/>
      <c r="AS373" s="3"/>
      <c r="BD373" s="97"/>
      <c r="EL373" s="3"/>
      <c r="EM373" s="3"/>
      <c r="FK373" s="135"/>
      <c r="HK373" s="170"/>
      <c r="HM373" s="1" t="s">
        <v>3922</v>
      </c>
      <c r="HN373" s="1">
        <f>IF(HN274=HM373,16,0)</f>
        <v>0</v>
      </c>
      <c r="IB373" s="170"/>
      <c r="IG373" s="1"/>
      <c r="IH373" s="1"/>
      <c r="II373" s="1"/>
      <c r="IJ373" s="1"/>
      <c r="IK373" s="1"/>
      <c r="IL373" s="1"/>
      <c r="IM373" s="1"/>
      <c r="IN373" s="178"/>
      <c r="IO373" s="1"/>
      <c r="IP373" s="1"/>
      <c r="IQ373" s="1"/>
      <c r="IR373" s="1"/>
      <c r="IS373" s="37">
        <v>8</v>
      </c>
      <c r="IT373" s="37"/>
      <c r="IU373" s="37"/>
      <c r="IV373" s="1"/>
      <c r="IW373" s="1"/>
      <c r="IX373" s="1"/>
      <c r="IY373" s="1"/>
      <c r="IZ373" s="1"/>
      <c r="JA373" s="1"/>
      <c r="JB373" s="1"/>
      <c r="JC373" s="178"/>
      <c r="JD373" s="135"/>
    </row>
    <row r="374" spans="9:264">
      <c r="I374" s="32" t="s">
        <v>0</v>
      </c>
      <c r="J374" s="160" t="s">
        <v>1218</v>
      </c>
      <c r="K374" s="160" t="s">
        <v>1218</v>
      </c>
      <c r="L374" s="32" t="s">
        <v>461</v>
      </c>
      <c r="M374" s="32" t="s">
        <v>1219</v>
      </c>
      <c r="N374" s="32" t="s">
        <v>1220</v>
      </c>
      <c r="O374" s="32" t="s">
        <v>461</v>
      </c>
      <c r="P374" s="32" t="s">
        <v>1219</v>
      </c>
      <c r="Q374" s="32" t="s">
        <v>1220</v>
      </c>
      <c r="R374" s="32" t="s">
        <v>461</v>
      </c>
      <c r="S374" s="32" t="s">
        <v>1220</v>
      </c>
      <c r="AJ374" s="175"/>
      <c r="AK374" s="175"/>
      <c r="AL374" s="175"/>
      <c r="AM374" s="175"/>
      <c r="AN374" s="175"/>
      <c r="AO374" s="175"/>
      <c r="AP374" s="175"/>
      <c r="AS374" s="3"/>
      <c r="BD374" s="97"/>
      <c r="EL374" s="3"/>
      <c r="EM374" s="3"/>
      <c r="FK374" s="135"/>
      <c r="HK374" s="170"/>
      <c r="HM374" s="1" t="s">
        <v>3688</v>
      </c>
      <c r="HN374" s="170">
        <f>HN372+HN373</f>
        <v>0</v>
      </c>
      <c r="IB374" s="170"/>
      <c r="IG374" s="1"/>
      <c r="IH374" s="1"/>
      <c r="II374" s="1"/>
      <c r="IJ374" s="1"/>
      <c r="IK374" s="1"/>
      <c r="IL374" s="1"/>
      <c r="IM374" s="1"/>
      <c r="IN374" s="178"/>
      <c r="IO374" s="1"/>
      <c r="IP374" s="1"/>
      <c r="IQ374" s="1"/>
      <c r="IR374" s="1"/>
      <c r="IS374" s="37">
        <v>9</v>
      </c>
      <c r="IT374" s="37"/>
      <c r="IU374" s="37"/>
      <c r="IV374" s="1"/>
      <c r="IW374" s="1"/>
      <c r="IX374" s="1"/>
      <c r="IY374" s="1"/>
      <c r="IZ374" s="1"/>
      <c r="JA374" s="1"/>
      <c r="JB374" s="1"/>
      <c r="JC374" s="178"/>
      <c r="JD374" s="135"/>
    </row>
    <row r="375" spans="9:264">
      <c r="I375" s="22"/>
      <c r="J375" s="156" t="s">
        <v>1221</v>
      </c>
      <c r="K375" s="156" t="s">
        <v>1221</v>
      </c>
      <c r="L375" s="22">
        <v>5</v>
      </c>
      <c r="M375" s="22">
        <v>34</v>
      </c>
      <c r="N375" s="22">
        <v>31.9</v>
      </c>
      <c r="O375" s="22">
        <v>22</v>
      </c>
      <c r="P375" s="22">
        <v>0</v>
      </c>
      <c r="Q375" s="22">
        <v>52</v>
      </c>
      <c r="R375" s="22" t="s">
        <v>1222</v>
      </c>
      <c r="S375" s="22" t="s">
        <v>1223</v>
      </c>
      <c r="AJ375" s="175"/>
      <c r="AK375" s="175"/>
      <c r="AL375" s="175"/>
      <c r="AM375" s="175"/>
      <c r="AN375" s="175"/>
      <c r="AO375" s="175"/>
      <c r="AP375" s="175"/>
      <c r="AS375" s="3"/>
      <c r="BD375" s="97"/>
      <c r="EL375" s="3"/>
      <c r="EM375" s="3"/>
      <c r="FK375" s="135"/>
      <c r="HK375" s="170"/>
      <c r="HM375" s="191">
        <v>17</v>
      </c>
      <c r="IB375" s="170"/>
      <c r="IG375" s="1"/>
      <c r="IH375" s="1"/>
      <c r="II375" s="1"/>
      <c r="IJ375" s="1"/>
      <c r="IK375" s="1"/>
      <c r="IL375" s="1"/>
      <c r="IM375" s="1"/>
      <c r="IN375" s="178"/>
      <c r="IO375" s="1"/>
      <c r="IP375" s="1"/>
      <c r="IQ375" s="1"/>
      <c r="IR375" s="1"/>
      <c r="IS375" s="107">
        <v>10</v>
      </c>
      <c r="IT375" s="107" t="s">
        <v>3919</v>
      </c>
      <c r="IU375" s="37" t="str">
        <f>IQ289</f>
        <v xml:space="preserve"> </v>
      </c>
      <c r="IV375" s="1"/>
      <c r="IW375" s="1"/>
      <c r="IX375" s="1"/>
      <c r="IY375" s="1"/>
      <c r="IZ375" s="1"/>
      <c r="JA375" s="1"/>
      <c r="JB375" s="1"/>
      <c r="JC375" s="178"/>
      <c r="JD375" s="135"/>
    </row>
    <row r="376" spans="9:264">
      <c r="I376" s="22"/>
      <c r="J376" s="156" t="s">
        <v>1224</v>
      </c>
      <c r="K376" s="156" t="s">
        <v>1224</v>
      </c>
      <c r="L376" s="22">
        <v>21</v>
      </c>
      <c r="M376" s="22">
        <v>33</v>
      </c>
      <c r="N376" s="22">
        <v>27.2</v>
      </c>
      <c r="O376" s="22">
        <v>0</v>
      </c>
      <c r="P376" s="22">
        <v>-49</v>
      </c>
      <c r="Q376" s="22">
        <v>-24</v>
      </c>
      <c r="R376" s="22" t="s">
        <v>1225</v>
      </c>
      <c r="S376" s="22" t="s">
        <v>1226</v>
      </c>
      <c r="AJ376" s="175"/>
      <c r="AK376" s="175"/>
      <c r="AL376" s="175"/>
      <c r="AM376" s="175"/>
      <c r="AN376" s="175"/>
      <c r="AO376" s="175"/>
      <c r="AP376" s="175"/>
      <c r="AS376" s="3"/>
      <c r="BD376" s="97"/>
      <c r="EL376" s="3"/>
      <c r="EM376" s="3"/>
      <c r="FK376" s="135"/>
      <c r="HK376" s="170"/>
      <c r="HM376" s="1" t="s">
        <v>3923</v>
      </c>
      <c r="IB376" s="170"/>
      <c r="IG376" s="1"/>
      <c r="IH376" s="1"/>
      <c r="II376" s="1"/>
      <c r="IJ376" s="1"/>
      <c r="IK376" s="1"/>
      <c r="IL376" s="1"/>
      <c r="IM376" s="1"/>
      <c r="IN376" s="178"/>
      <c r="IO376" s="1"/>
      <c r="IP376" s="1"/>
      <c r="IQ376" s="1"/>
      <c r="IR376" s="1"/>
      <c r="IS376" s="1" t="s">
        <v>3635</v>
      </c>
      <c r="IT376" s="1"/>
      <c r="IU376" s="6" t="e">
        <f>LOOKUP(IS365,(IS366:IS375),(IU366:IU375))</f>
        <v>#N/A</v>
      </c>
      <c r="IV376" s="1" t="s">
        <v>4026</v>
      </c>
      <c r="IW376" s="1"/>
      <c r="IX376" s="1"/>
      <c r="IY376" s="1"/>
      <c r="IZ376" s="1"/>
      <c r="JA376" s="1"/>
      <c r="JB376" s="1"/>
      <c r="JC376" s="178"/>
      <c r="JD376" s="135"/>
    </row>
    <row r="377" spans="9:264">
      <c r="I377" s="22"/>
      <c r="J377" s="156" t="s">
        <v>1227</v>
      </c>
      <c r="K377" s="156" t="s">
        <v>1227</v>
      </c>
      <c r="L377" s="22">
        <v>13</v>
      </c>
      <c r="M377" s="22">
        <v>42</v>
      </c>
      <c r="N377" s="22">
        <v>11.6</v>
      </c>
      <c r="O377" s="22">
        <v>28</v>
      </c>
      <c r="P377" s="22">
        <v>22</v>
      </c>
      <c r="Q377" s="22">
        <v>38</v>
      </c>
      <c r="R377" s="22" t="s">
        <v>1228</v>
      </c>
      <c r="S377" s="22" t="s">
        <v>1229</v>
      </c>
      <c r="AJ377" s="175"/>
      <c r="AK377" s="175"/>
      <c r="AL377" s="175"/>
      <c r="AM377" s="175"/>
      <c r="AN377" s="175"/>
      <c r="AO377" s="175"/>
      <c r="AP377" s="175"/>
      <c r="AS377" s="3"/>
      <c r="BD377" s="97"/>
      <c r="EL377" s="3"/>
      <c r="EM377" s="3"/>
      <c r="FK377" s="135"/>
      <c r="HK377" s="170"/>
      <c r="HM377" s="1" t="s">
        <v>3727</v>
      </c>
      <c r="HN377" s="1">
        <f>IF(HN274=HM377,17,0)</f>
        <v>0</v>
      </c>
      <c r="IB377" s="170"/>
      <c r="IG377" s="1"/>
      <c r="IH377" s="1"/>
      <c r="II377" s="1"/>
      <c r="IJ377" s="1"/>
      <c r="IK377" s="1"/>
      <c r="IL377" s="1"/>
      <c r="IM377" s="1"/>
      <c r="IN377" s="178"/>
      <c r="IO377" s="1"/>
      <c r="IP377" s="1"/>
      <c r="IQ377" s="1" t="s">
        <v>4046</v>
      </c>
      <c r="IS377" s="1"/>
      <c r="IT377" s="1"/>
      <c r="IU377" s="180" t="e">
        <f>IF(IO269=IV376,IV376,IU376)</f>
        <v>#N/A</v>
      </c>
      <c r="IV377" s="1"/>
      <c r="IW377" s="1"/>
      <c r="IX377" s="1"/>
      <c r="IY377" s="1"/>
      <c r="IZ377" s="1"/>
      <c r="JA377" s="1"/>
      <c r="JB377" s="1"/>
      <c r="JC377" s="178"/>
      <c r="JD377" s="135"/>
    </row>
    <row r="378" spans="9:264">
      <c r="I378" s="22"/>
      <c r="J378" s="156" t="s">
        <v>1230</v>
      </c>
      <c r="K378" s="156" t="s">
        <v>1230</v>
      </c>
      <c r="L378" s="22">
        <v>16</v>
      </c>
      <c r="M378" s="22">
        <v>23</v>
      </c>
      <c r="N378" s="22">
        <v>35.200000000000003</v>
      </c>
      <c r="O378" s="22">
        <v>-26</v>
      </c>
      <c r="P378" s="22">
        <v>-31</v>
      </c>
      <c r="Q378" s="22">
        <v>-33</v>
      </c>
      <c r="R378" s="22" t="s">
        <v>1231</v>
      </c>
      <c r="S378" s="22" t="s">
        <v>1232</v>
      </c>
      <c r="AJ378" s="175"/>
      <c r="AK378" s="175"/>
      <c r="AL378" s="175"/>
      <c r="AM378" s="175"/>
      <c r="AN378" s="175"/>
      <c r="AO378" s="175"/>
      <c r="AP378" s="175"/>
      <c r="AS378" s="3"/>
      <c r="BD378" s="97"/>
      <c r="EL378" s="3"/>
      <c r="EM378" s="3"/>
      <c r="FK378" s="135"/>
      <c r="HK378" s="170"/>
      <c r="HM378" s="1" t="s">
        <v>3925</v>
      </c>
      <c r="HN378" s="1">
        <f>IF(HN274=HM378,17,0)</f>
        <v>0</v>
      </c>
      <c r="IB378" s="170"/>
      <c r="IG378" s="1"/>
      <c r="IH378" s="1"/>
      <c r="II378" s="1"/>
      <c r="IJ378" s="1"/>
      <c r="IK378" s="1"/>
      <c r="IL378" s="1"/>
      <c r="IM378" s="1"/>
      <c r="IN378" s="178"/>
      <c r="IO378" s="178"/>
      <c r="IP378" s="178"/>
      <c r="IQ378" s="178"/>
      <c r="IR378" s="178"/>
      <c r="IS378" s="178"/>
      <c r="IT378" s="178"/>
      <c r="IU378" s="178"/>
      <c r="IV378" s="178"/>
      <c r="IW378" s="178"/>
      <c r="IX378" s="178"/>
      <c r="IY378" s="178"/>
      <c r="IZ378" s="178"/>
      <c r="JA378" s="178"/>
      <c r="JB378" s="178"/>
      <c r="JC378" s="178"/>
      <c r="JD378" s="135"/>
    </row>
    <row r="379" spans="9:264">
      <c r="I379" s="22"/>
      <c r="J379" s="156" t="s">
        <v>1233</v>
      </c>
      <c r="K379" s="156" t="s">
        <v>1233</v>
      </c>
      <c r="L379" s="22">
        <v>15</v>
      </c>
      <c r="M379" s="22">
        <v>18</v>
      </c>
      <c r="N379" s="22">
        <v>33.200000000000003</v>
      </c>
      <c r="O379" s="22">
        <v>2</v>
      </c>
      <c r="P379" s="22">
        <v>4</v>
      </c>
      <c r="Q379" s="22">
        <v>52</v>
      </c>
      <c r="R379" s="22" t="s">
        <v>1234</v>
      </c>
      <c r="S379" s="22" t="s">
        <v>1235</v>
      </c>
      <c r="AJ379" s="175"/>
      <c r="AK379" s="175"/>
      <c r="AL379" s="175"/>
      <c r="AM379" s="175"/>
      <c r="AN379" s="175"/>
      <c r="AO379" s="175"/>
      <c r="AP379" s="175"/>
      <c r="AS379" s="3"/>
      <c r="BD379" s="97"/>
      <c r="EL379" s="3"/>
      <c r="EM379" s="3"/>
      <c r="FK379" s="135"/>
      <c r="HK379" s="170"/>
      <c r="HM379" s="1" t="s">
        <v>3688</v>
      </c>
      <c r="HN379" s="170">
        <f>HN378+HN377</f>
        <v>0</v>
      </c>
      <c r="IB379" s="170"/>
      <c r="IG379" s="1"/>
      <c r="IH379" s="1"/>
      <c r="II379" s="1"/>
      <c r="IJ379" s="1"/>
      <c r="IK379" s="1"/>
      <c r="IL379" s="1"/>
      <c r="IM379" s="1"/>
      <c r="IN379" s="1"/>
      <c r="IO379" s="1"/>
      <c r="IP379" s="1"/>
      <c r="IQ379" s="1"/>
      <c r="IR379" s="1"/>
      <c r="IS379" s="1"/>
      <c r="IT379" s="1"/>
      <c r="IU379" s="1"/>
      <c r="IV379" s="1"/>
      <c r="IW379" s="1"/>
      <c r="IX379" s="1"/>
      <c r="IY379" s="1"/>
      <c r="IZ379" s="1"/>
      <c r="JA379" s="1"/>
      <c r="JB379" s="1"/>
      <c r="JC379" s="1"/>
      <c r="JD379" s="135"/>
    </row>
    <row r="380" spans="9:264">
      <c r="I380" s="22"/>
      <c r="J380" s="156" t="s">
        <v>1236</v>
      </c>
      <c r="K380" s="156" t="s">
        <v>1236</v>
      </c>
      <c r="L380" s="22">
        <v>17</v>
      </c>
      <c r="M380" s="22">
        <v>40</v>
      </c>
      <c r="N380" s="22">
        <v>20</v>
      </c>
      <c r="O380" s="22">
        <v>-32</v>
      </c>
      <c r="P380" s="22">
        <v>-15</v>
      </c>
      <c r="Q380" s="22">
        <v>-1</v>
      </c>
      <c r="R380" s="22" t="s">
        <v>1237</v>
      </c>
      <c r="S380" s="22" t="s">
        <v>1238</v>
      </c>
      <c r="AJ380" s="175"/>
      <c r="AK380" s="175"/>
      <c r="AL380" s="175"/>
      <c r="AM380" s="175"/>
      <c r="AN380" s="175"/>
      <c r="AO380" s="175"/>
      <c r="AP380" s="175"/>
      <c r="AS380" s="3"/>
      <c r="BD380" s="97"/>
      <c r="EL380" s="3"/>
      <c r="EM380" s="3"/>
      <c r="FK380" s="135"/>
      <c r="HK380" s="170"/>
      <c r="HM380" s="191">
        <v>18</v>
      </c>
      <c r="IB380" s="170"/>
      <c r="IG380" s="1"/>
      <c r="IH380" s="1"/>
      <c r="II380" s="1"/>
      <c r="IJ380" s="1"/>
      <c r="IK380" s="1"/>
      <c r="IL380" s="1"/>
      <c r="IM380" s="1"/>
      <c r="IN380" s="1"/>
      <c r="IO380" s="1"/>
      <c r="IP380" s="1"/>
      <c r="IQ380" s="1"/>
      <c r="IR380" s="1"/>
      <c r="IS380" s="1"/>
      <c r="IT380" s="1"/>
      <c r="IU380" s="1"/>
      <c r="IV380" s="1"/>
      <c r="IW380" s="1"/>
      <c r="IX380" s="1"/>
      <c r="IY380" s="1"/>
      <c r="IZ380" s="1"/>
      <c r="JA380" s="1"/>
      <c r="JB380" s="1"/>
      <c r="JC380" s="1"/>
      <c r="JD380" s="135"/>
    </row>
    <row r="381" spans="9:264">
      <c r="I381" s="22"/>
      <c r="J381" s="156" t="s">
        <v>1239</v>
      </c>
      <c r="K381" s="156" t="s">
        <v>1239</v>
      </c>
      <c r="L381" s="22">
        <v>17</v>
      </c>
      <c r="M381" s="22">
        <v>53</v>
      </c>
      <c r="N381" s="22">
        <v>51</v>
      </c>
      <c r="O381" s="22">
        <v>-34</v>
      </c>
      <c r="P381" s="22">
        <v>-47</v>
      </c>
      <c r="Q381" s="22">
        <v>-3</v>
      </c>
      <c r="R381" s="22" t="s">
        <v>1240</v>
      </c>
      <c r="S381" s="22" t="s">
        <v>1241</v>
      </c>
      <c r="AJ381" s="175"/>
      <c r="AK381" s="175"/>
      <c r="AL381" s="175"/>
      <c r="AM381" s="175"/>
      <c r="AN381" s="175"/>
      <c r="AO381" s="175"/>
      <c r="AP381" s="175"/>
      <c r="AS381" s="3"/>
      <c r="BD381" s="97"/>
      <c r="EL381" s="3"/>
      <c r="EM381" s="3"/>
      <c r="FK381" s="135"/>
      <c r="HK381" s="170"/>
      <c r="HM381" s="1" t="s">
        <v>3927</v>
      </c>
      <c r="IB381" s="170"/>
      <c r="IG381" s="1"/>
      <c r="IH381" s="1"/>
      <c r="II381" s="1"/>
      <c r="IJ381" s="1"/>
      <c r="IK381" s="1"/>
      <c r="IL381" s="1"/>
      <c r="IM381" s="1"/>
      <c r="IN381" s="1"/>
      <c r="IO381" s="1"/>
      <c r="IP381" s="1"/>
      <c r="IQ381" s="1"/>
      <c r="IR381" s="1"/>
      <c r="IS381" s="1"/>
      <c r="IT381" s="1"/>
      <c r="IU381" s="1"/>
      <c r="IV381" s="1"/>
      <c r="IW381" s="1"/>
      <c r="IX381" s="1"/>
      <c r="IY381" s="1"/>
      <c r="IZ381" s="1"/>
      <c r="JA381" s="1"/>
      <c r="JB381" s="1"/>
      <c r="JC381" s="1"/>
      <c r="JD381" s="135"/>
    </row>
    <row r="382" spans="9:264">
      <c r="I382" s="22"/>
      <c r="J382" s="156" t="s">
        <v>1242</v>
      </c>
      <c r="K382" s="156" t="s">
        <v>1242</v>
      </c>
      <c r="L382" s="22">
        <v>18</v>
      </c>
      <c r="M382" s="22">
        <v>3</v>
      </c>
      <c r="N382" s="22">
        <v>37</v>
      </c>
      <c r="O382" s="22">
        <v>-24</v>
      </c>
      <c r="P382" s="22">
        <v>-23</v>
      </c>
      <c r="Q382" s="22">
        <v>-1</v>
      </c>
      <c r="R382" s="22" t="s">
        <v>1243</v>
      </c>
      <c r="S382" s="22" t="s">
        <v>1244</v>
      </c>
      <c r="AJ382" s="175"/>
      <c r="AK382" s="175"/>
      <c r="AL382" s="175"/>
      <c r="AM382" s="175"/>
      <c r="AN382" s="175"/>
      <c r="AO382" s="175"/>
      <c r="AP382" s="175"/>
      <c r="AS382" s="3"/>
      <c r="BD382" s="97"/>
      <c r="EL382" s="3"/>
      <c r="EM382" s="3"/>
      <c r="FK382" s="135"/>
      <c r="HK382" s="170"/>
      <c r="HM382" s="1" t="s">
        <v>3729</v>
      </c>
      <c r="HN382" s="1">
        <f>IF(HN274=HM382,18,0)</f>
        <v>0</v>
      </c>
      <c r="IB382" s="170"/>
      <c r="IG382" s="1"/>
      <c r="IH382" s="1"/>
      <c r="II382" s="1"/>
      <c r="IJ382" s="1"/>
      <c r="IK382" s="1"/>
      <c r="IL382" s="1"/>
      <c r="IM382" s="1"/>
      <c r="IN382" s="1"/>
      <c r="IO382" s="1"/>
      <c r="IP382" s="1"/>
      <c r="IQ382" s="1"/>
      <c r="IR382" s="1"/>
      <c r="IS382" s="1"/>
      <c r="IT382" s="1"/>
      <c r="IU382" s="1"/>
      <c r="IV382" s="1"/>
      <c r="IW382" s="1"/>
      <c r="IX382" s="1"/>
      <c r="IY382" s="1"/>
      <c r="IZ382" s="1"/>
      <c r="JA382" s="1"/>
      <c r="JB382" s="1"/>
      <c r="JC382" s="1"/>
      <c r="JD382" s="135"/>
    </row>
    <row r="383" spans="9:264">
      <c r="I383" s="22"/>
      <c r="J383" s="156" t="s">
        <v>1245</v>
      </c>
      <c r="K383" s="156" t="s">
        <v>1245</v>
      </c>
      <c r="L383" s="22">
        <v>17</v>
      </c>
      <c r="M383" s="22">
        <v>19</v>
      </c>
      <c r="N383" s="22">
        <v>11.8</v>
      </c>
      <c r="O383" s="22">
        <v>-18</v>
      </c>
      <c r="P383" s="22">
        <v>-30</v>
      </c>
      <c r="Q383" s="22">
        <v>-58</v>
      </c>
      <c r="R383" s="22" t="s">
        <v>1246</v>
      </c>
      <c r="S383" s="22" t="s">
        <v>1247</v>
      </c>
      <c r="AJ383" s="175"/>
      <c r="AK383" s="175"/>
      <c r="AL383" s="175"/>
      <c r="AM383" s="175"/>
      <c r="AN383" s="175"/>
      <c r="AO383" s="175"/>
      <c r="AP383" s="175"/>
      <c r="AS383" s="3"/>
      <c r="BD383" s="97"/>
      <c r="EL383" s="3"/>
      <c r="EM383" s="3"/>
      <c r="FK383" s="135"/>
      <c r="HK383" s="170"/>
      <c r="HM383" s="1" t="s">
        <v>3928</v>
      </c>
      <c r="HN383" s="1">
        <f>IF(HN274=HM383,18,0)</f>
        <v>0</v>
      </c>
      <c r="IB383" s="170"/>
      <c r="IG383" s="1"/>
      <c r="IH383" s="1"/>
      <c r="II383" s="1"/>
      <c r="IJ383" s="1"/>
      <c r="IK383" s="1"/>
      <c r="IL383" s="1"/>
      <c r="IM383" s="1"/>
      <c r="IN383" s="1"/>
      <c r="IO383" s="1"/>
      <c r="IP383" s="1"/>
      <c r="IQ383" s="1"/>
      <c r="IR383" s="1"/>
      <c r="IS383" s="1"/>
      <c r="IT383" s="1"/>
      <c r="IU383" s="1"/>
      <c r="IV383" s="1"/>
      <c r="IW383" s="1"/>
      <c r="IX383" s="1"/>
      <c r="IY383" s="1"/>
      <c r="IZ383" s="1"/>
      <c r="JA383" s="1"/>
      <c r="JB383" s="1"/>
      <c r="JC383" s="1"/>
      <c r="JD383" s="135"/>
    </row>
    <row r="384" spans="9:264">
      <c r="I384" s="22"/>
      <c r="J384" s="156" t="s">
        <v>1248</v>
      </c>
      <c r="K384" s="156" t="s">
        <v>1248</v>
      </c>
      <c r="L384" s="22">
        <v>16</v>
      </c>
      <c r="M384" s="22">
        <v>57</v>
      </c>
      <c r="N384" s="22">
        <v>9.5</v>
      </c>
      <c r="O384" s="22">
        <v>-4</v>
      </c>
      <c r="P384" s="22">
        <v>-6</v>
      </c>
      <c r="Q384" s="22">
        <v>-1</v>
      </c>
      <c r="R384" s="22" t="s">
        <v>1249</v>
      </c>
      <c r="S384" s="22" t="s">
        <v>1250</v>
      </c>
      <c r="AJ384" s="175"/>
      <c r="AK384" s="175"/>
      <c r="AL384" s="175"/>
      <c r="AM384" s="175"/>
      <c r="AN384" s="175"/>
      <c r="AO384" s="175"/>
      <c r="AP384" s="175"/>
      <c r="AS384" s="3"/>
      <c r="BD384" s="97"/>
      <c r="EL384" s="3"/>
      <c r="EM384" s="3"/>
      <c r="FK384" s="135"/>
      <c r="HK384" s="170"/>
      <c r="HM384" s="1" t="s">
        <v>3929</v>
      </c>
      <c r="HN384" s="1">
        <f>IF(HN274=HM384,18,0)</f>
        <v>0</v>
      </c>
      <c r="IB384" s="170"/>
      <c r="IG384" s="1"/>
      <c r="IH384" s="1"/>
      <c r="II384" s="1"/>
      <c r="IJ384" s="1"/>
      <c r="IK384" s="1"/>
      <c r="IL384" s="1"/>
      <c r="IM384" s="1"/>
      <c r="IN384" s="1"/>
      <c r="IO384" s="1"/>
      <c r="IP384" s="1"/>
      <c r="IQ384" s="1"/>
      <c r="IR384" s="1"/>
      <c r="IS384" s="1"/>
      <c r="IT384" s="1"/>
      <c r="IU384" s="1"/>
      <c r="IV384" s="1"/>
      <c r="IW384" s="1"/>
      <c r="IX384" s="1"/>
      <c r="IY384" s="1"/>
      <c r="IZ384" s="1"/>
      <c r="JA384" s="1"/>
      <c r="JB384" s="1"/>
      <c r="JC384" s="1"/>
      <c r="JD384" s="135"/>
    </row>
    <row r="385" spans="9:264">
      <c r="I385" s="22"/>
      <c r="J385" s="156" t="s">
        <v>1251</v>
      </c>
      <c r="K385" s="156" t="s">
        <v>1251</v>
      </c>
      <c r="L385" s="22">
        <v>18</v>
      </c>
      <c r="M385" s="22">
        <v>51</v>
      </c>
      <c r="N385" s="22">
        <v>5</v>
      </c>
      <c r="O385" s="22">
        <v>-6</v>
      </c>
      <c r="P385" s="22">
        <v>-16</v>
      </c>
      <c r="Q385" s="22">
        <v>-1</v>
      </c>
      <c r="R385" s="22" t="s">
        <v>1252</v>
      </c>
      <c r="S385" s="22" t="s">
        <v>1253</v>
      </c>
      <c r="AJ385" s="175"/>
      <c r="AK385" s="175"/>
      <c r="AL385" s="175"/>
      <c r="AM385" s="175"/>
      <c r="AN385" s="175"/>
      <c r="AO385" s="175"/>
      <c r="AP385" s="175"/>
      <c r="AS385" s="3"/>
      <c r="BD385" s="97"/>
      <c r="EL385" s="3"/>
      <c r="EM385" s="3"/>
      <c r="FK385" s="135"/>
      <c r="HK385" s="170"/>
      <c r="HM385" s="1" t="s">
        <v>3688</v>
      </c>
      <c r="HN385" s="170">
        <f>HN382+HN383+HN384</f>
        <v>0</v>
      </c>
      <c r="IB385" s="170"/>
      <c r="IG385" s="1"/>
      <c r="IH385" s="1"/>
      <c r="II385" s="1"/>
      <c r="IJ385" s="1"/>
      <c r="IK385" s="1"/>
      <c r="IL385" s="1"/>
      <c r="IM385" s="1"/>
      <c r="IN385" s="1"/>
      <c r="IO385" s="1"/>
      <c r="IP385" s="1"/>
      <c r="IQ385" s="1"/>
      <c r="IR385" s="1"/>
      <c r="IS385" s="1"/>
      <c r="IT385" s="1"/>
      <c r="IU385" s="1"/>
      <c r="IV385" s="1"/>
      <c r="IW385" s="1"/>
      <c r="IX385" s="1"/>
      <c r="IY385" s="1"/>
      <c r="IZ385" s="1"/>
      <c r="JA385" s="1"/>
      <c r="JB385" s="1"/>
      <c r="JC385" s="1"/>
      <c r="JD385" s="135"/>
    </row>
    <row r="386" spans="9:264">
      <c r="I386" s="22"/>
      <c r="J386" s="156" t="s">
        <v>1254</v>
      </c>
      <c r="K386" s="156" t="s">
        <v>1254</v>
      </c>
      <c r="L386" s="22">
        <v>16</v>
      </c>
      <c r="M386" s="22">
        <v>47</v>
      </c>
      <c r="N386" s="22">
        <v>14.2</v>
      </c>
      <c r="O386" s="22">
        <v>-1</v>
      </c>
      <c r="P386" s="22">
        <v>-56</v>
      </c>
      <c r="Q386" s="22">
        <v>-55</v>
      </c>
      <c r="R386" s="22" t="s">
        <v>1255</v>
      </c>
      <c r="S386" s="22" t="s">
        <v>1256</v>
      </c>
      <c r="AJ386" s="175"/>
      <c r="AK386" s="175"/>
      <c r="AL386" s="175"/>
      <c r="AM386" s="175"/>
      <c r="AN386" s="175"/>
      <c r="AO386" s="175"/>
      <c r="AP386" s="175"/>
      <c r="AS386" s="3"/>
      <c r="BD386" s="97"/>
      <c r="EL386" s="3"/>
      <c r="EM386" s="3"/>
      <c r="FK386" s="135"/>
      <c r="HK386" s="170"/>
      <c r="HM386" s="191">
        <v>19</v>
      </c>
      <c r="IB386" s="170"/>
      <c r="IG386" s="1"/>
      <c r="IH386" s="1"/>
      <c r="II386" s="1"/>
      <c r="IJ386" s="1"/>
      <c r="IK386" s="1"/>
      <c r="IL386" s="1"/>
      <c r="IM386" s="1"/>
      <c r="IN386" s="1"/>
      <c r="IO386" s="1"/>
      <c r="IP386" s="1"/>
      <c r="IQ386" s="1"/>
      <c r="IR386" s="1"/>
      <c r="IS386" s="1"/>
      <c r="IT386" s="1"/>
      <c r="IU386" s="1"/>
      <c r="IV386" s="1"/>
      <c r="IW386" s="1"/>
      <c r="IX386" s="1"/>
      <c r="IY386" s="1"/>
      <c r="IZ386" s="1"/>
      <c r="JA386" s="1"/>
      <c r="JB386" s="1"/>
      <c r="JC386" s="1"/>
      <c r="JD386" s="135"/>
    </row>
    <row r="387" spans="9:264">
      <c r="I387" s="22"/>
      <c r="J387" s="156" t="s">
        <v>1257</v>
      </c>
      <c r="K387" s="156" t="s">
        <v>1257</v>
      </c>
      <c r="L387" s="22">
        <v>16</v>
      </c>
      <c r="M387" s="22">
        <v>41</v>
      </c>
      <c r="N387" s="22">
        <v>41.6</v>
      </c>
      <c r="O387" s="22">
        <v>36</v>
      </c>
      <c r="P387" s="22">
        <v>27</v>
      </c>
      <c r="Q387" s="22">
        <v>41</v>
      </c>
      <c r="R387" s="22" t="s">
        <v>1258</v>
      </c>
      <c r="S387" s="22" t="s">
        <v>1259</v>
      </c>
      <c r="AJ387" s="175"/>
      <c r="AK387" s="175"/>
      <c r="AL387" s="175"/>
      <c r="AM387" s="175"/>
      <c r="AN387" s="175"/>
      <c r="AO387" s="175"/>
      <c r="AP387" s="175"/>
      <c r="AS387" s="3"/>
      <c r="BD387" s="97"/>
      <c r="EL387" s="3"/>
      <c r="EM387" s="3"/>
      <c r="FK387" s="135"/>
      <c r="HK387" s="170"/>
      <c r="HM387" s="1" t="s">
        <v>3932</v>
      </c>
      <c r="IB387" s="170"/>
      <c r="IG387" s="1"/>
      <c r="IH387" s="1"/>
      <c r="II387" s="1"/>
      <c r="IJ387" s="1"/>
      <c r="IK387" s="1"/>
      <c r="IL387" s="1"/>
      <c r="IM387" s="1"/>
      <c r="IN387" s="1"/>
      <c r="IO387" s="1"/>
      <c r="IP387" s="1"/>
      <c r="IQ387" s="1"/>
      <c r="IR387" s="1"/>
      <c r="IS387" s="1"/>
      <c r="IT387" s="1"/>
      <c r="IU387" s="1"/>
      <c r="IV387" s="1"/>
      <c r="IW387" s="1"/>
      <c r="IX387" s="1"/>
      <c r="IY387" s="1"/>
      <c r="IZ387" s="1"/>
      <c r="JA387" s="1"/>
      <c r="JB387" s="1"/>
      <c r="JC387" s="1"/>
      <c r="JD387" s="135"/>
    </row>
    <row r="388" spans="9:264">
      <c r="I388" s="22"/>
      <c r="J388" s="156" t="s">
        <v>1260</v>
      </c>
      <c r="K388" s="156" t="s">
        <v>1260</v>
      </c>
      <c r="L388" s="22">
        <v>17</v>
      </c>
      <c r="M388" s="22">
        <v>37</v>
      </c>
      <c r="N388" s="22">
        <v>36.1</v>
      </c>
      <c r="O388" s="22">
        <v>-3</v>
      </c>
      <c r="P388" s="22">
        <v>-14</v>
      </c>
      <c r="Q388" s="22">
        <v>-45</v>
      </c>
      <c r="R388" s="22" t="s">
        <v>1261</v>
      </c>
      <c r="S388" s="22" t="s">
        <v>1262</v>
      </c>
      <c r="AJ388" s="175"/>
      <c r="AK388" s="175"/>
      <c r="AL388" s="175"/>
      <c r="AM388" s="175"/>
      <c r="AN388" s="175"/>
      <c r="AO388" s="175"/>
      <c r="AP388" s="175"/>
      <c r="AS388" s="3"/>
      <c r="BD388" s="97"/>
      <c r="EL388" s="3"/>
      <c r="EM388" s="3"/>
      <c r="FK388" s="135"/>
      <c r="HK388" s="170"/>
      <c r="HM388" s="1" t="s">
        <v>3732</v>
      </c>
      <c r="HN388" s="1">
        <f>IF(HN274=HM388,19,0)</f>
        <v>0</v>
      </c>
      <c r="IB388" s="170"/>
      <c r="IG388" s="1"/>
      <c r="IH388" s="1"/>
      <c r="II388" s="1"/>
      <c r="IJ388" s="1"/>
      <c r="IK388" s="1"/>
      <c r="IL388" s="1"/>
      <c r="IM388" s="1"/>
      <c r="IN388" s="1"/>
      <c r="IO388" s="1"/>
      <c r="IP388" s="1"/>
      <c r="IQ388" s="1"/>
      <c r="IR388" s="1"/>
      <c r="IS388" s="1"/>
      <c r="IT388" s="1"/>
      <c r="IU388" s="1"/>
      <c r="IV388" s="1"/>
      <c r="IW388" s="1"/>
      <c r="IX388" s="1"/>
      <c r="IY388" s="1"/>
      <c r="IZ388" s="1"/>
      <c r="JA388" s="1"/>
      <c r="JB388" s="1"/>
      <c r="JC388" s="1"/>
      <c r="JD388" s="135"/>
    </row>
    <row r="389" spans="9:264">
      <c r="I389" s="22"/>
      <c r="J389" s="156" t="s">
        <v>1263</v>
      </c>
      <c r="K389" s="156" t="s">
        <v>1263</v>
      </c>
      <c r="L389" s="22">
        <v>21</v>
      </c>
      <c r="M389" s="22">
        <v>29</v>
      </c>
      <c r="N389" s="22">
        <v>58.3</v>
      </c>
      <c r="O389" s="22">
        <v>12</v>
      </c>
      <c r="P389" s="22">
        <v>10</v>
      </c>
      <c r="Q389" s="22">
        <v>1</v>
      </c>
      <c r="R389" s="22" t="s">
        <v>1264</v>
      </c>
      <c r="S389" s="22" t="s">
        <v>1265</v>
      </c>
      <c r="AJ389" s="175"/>
      <c r="AK389" s="175"/>
      <c r="AL389" s="175"/>
      <c r="AM389" s="175"/>
      <c r="AN389" s="175"/>
      <c r="AO389" s="175"/>
      <c r="AP389" s="175"/>
      <c r="AS389" s="3"/>
      <c r="BD389" s="97"/>
      <c r="EL389" s="3"/>
      <c r="EM389" s="3"/>
      <c r="FK389" s="135"/>
      <c r="HK389" s="170"/>
      <c r="HM389" s="1" t="s">
        <v>3934</v>
      </c>
      <c r="HN389" s="1">
        <f>IF(HN274=HM389,19,0)</f>
        <v>0</v>
      </c>
      <c r="IB389" s="170"/>
      <c r="IG389" s="1"/>
      <c r="IH389" s="1"/>
      <c r="II389" s="1"/>
      <c r="IJ389" s="1"/>
      <c r="IK389" s="1"/>
      <c r="IL389" s="1"/>
      <c r="IM389" s="1"/>
      <c r="IN389" s="1"/>
      <c r="IO389" s="1"/>
      <c r="IP389" s="1"/>
      <c r="IQ389" s="1"/>
      <c r="IR389" s="1"/>
      <c r="IS389" s="1"/>
      <c r="IT389" s="1"/>
      <c r="IU389" s="1"/>
      <c r="IV389" s="1"/>
      <c r="IW389" s="1"/>
      <c r="IX389" s="1"/>
      <c r="IY389" s="1"/>
      <c r="IZ389" s="1"/>
      <c r="JA389" s="1"/>
      <c r="JB389" s="1"/>
      <c r="JC389" s="1"/>
      <c r="JD389" s="135"/>
    </row>
    <row r="390" spans="9:264">
      <c r="I390" s="22"/>
      <c r="J390" s="156" t="s">
        <v>1266</v>
      </c>
      <c r="K390" s="156" t="s">
        <v>1266</v>
      </c>
      <c r="L390" s="22">
        <v>18</v>
      </c>
      <c r="M390" s="22">
        <v>18</v>
      </c>
      <c r="N390" s="22">
        <v>48</v>
      </c>
      <c r="O390" s="22">
        <v>-13</v>
      </c>
      <c r="P390" s="22">
        <v>-48</v>
      </c>
      <c r="Q390" s="22">
        <v>-2</v>
      </c>
      <c r="R390" s="22" t="s">
        <v>1267</v>
      </c>
      <c r="S390" s="22" t="s">
        <v>1268</v>
      </c>
      <c r="V390" s="5"/>
      <c r="W390" s="5"/>
      <c r="X390" s="283" t="s">
        <v>3101</v>
      </c>
      <c r="Y390" s="5"/>
      <c r="Z390" s="342"/>
      <c r="AA390" s="5"/>
      <c r="AB390" s="5"/>
      <c r="AC390" s="5"/>
      <c r="AD390" s="5"/>
      <c r="AE390" s="5"/>
      <c r="AF390" s="5"/>
      <c r="AG390" s="5"/>
      <c r="AJ390" s="175"/>
      <c r="AK390" s="175"/>
      <c r="AL390" s="175"/>
      <c r="AM390" s="175"/>
      <c r="AN390" s="175"/>
      <c r="AO390" s="175"/>
      <c r="AP390" s="175"/>
      <c r="AS390" s="3"/>
      <c r="BD390" s="97"/>
      <c r="EL390" s="3"/>
      <c r="EM390" s="3"/>
      <c r="FK390" s="135"/>
      <c r="HK390" s="170"/>
      <c r="HM390" s="1" t="s">
        <v>3688</v>
      </c>
      <c r="HN390" s="170">
        <f>HN389+HN388</f>
        <v>0</v>
      </c>
      <c r="IB390" s="170"/>
      <c r="IG390" s="1"/>
      <c r="IH390" s="1"/>
      <c r="II390" s="1"/>
      <c r="IJ390" s="1"/>
      <c r="IK390" s="1"/>
      <c r="IL390" s="1"/>
      <c r="IM390" s="1"/>
      <c r="IN390" s="1"/>
      <c r="IO390" s="1"/>
      <c r="IP390" s="1"/>
      <c r="IQ390" s="1"/>
      <c r="IR390" s="1"/>
      <c r="IS390" s="1"/>
      <c r="IT390" s="1"/>
      <c r="IU390" s="1"/>
      <c r="IV390" s="1"/>
      <c r="IW390" s="1"/>
      <c r="IX390" s="1"/>
      <c r="IY390" s="1"/>
      <c r="IZ390" s="1"/>
      <c r="JA390" s="1"/>
      <c r="JB390" s="1"/>
      <c r="JC390" s="1"/>
      <c r="JD390" s="135"/>
    </row>
    <row r="391" spans="9:264">
      <c r="I391" s="22"/>
      <c r="J391" s="156" t="s">
        <v>1269</v>
      </c>
      <c r="K391" s="156" t="s">
        <v>1269</v>
      </c>
      <c r="L391" s="22">
        <v>18</v>
      </c>
      <c r="M391" s="22">
        <v>20</v>
      </c>
      <c r="N391" s="22">
        <v>48</v>
      </c>
      <c r="O391" s="22">
        <v>-16</v>
      </c>
      <c r="P391" s="22">
        <v>-10</v>
      </c>
      <c r="Q391" s="22">
        <v>-1</v>
      </c>
      <c r="R391" s="22" t="s">
        <v>1270</v>
      </c>
      <c r="S391" s="22" t="s">
        <v>1271</v>
      </c>
      <c r="AJ391" s="175"/>
      <c r="AK391" s="175"/>
      <c r="AL391" s="175"/>
      <c r="AM391" s="175"/>
      <c r="AN391" s="175"/>
      <c r="AO391" s="175"/>
      <c r="AP391" s="175"/>
      <c r="AS391" s="3"/>
      <c r="BD391" s="97"/>
      <c r="EL391" s="3"/>
      <c r="EM391" s="3"/>
      <c r="FK391" s="135"/>
      <c r="HK391" s="170"/>
      <c r="HM391" s="191">
        <v>20</v>
      </c>
      <c r="IB391" s="170"/>
      <c r="IG391" s="1"/>
      <c r="IH391" s="1"/>
      <c r="II391" s="1"/>
      <c r="IJ391" s="1"/>
      <c r="IK391" s="1"/>
      <c r="IL391" s="1"/>
      <c r="IM391" s="1"/>
      <c r="IN391" s="1"/>
      <c r="IO391" s="1"/>
      <c r="IP391" s="1"/>
      <c r="IQ391" s="1"/>
      <c r="IR391" s="1"/>
      <c r="IS391" s="1"/>
      <c r="IT391" s="1"/>
      <c r="IU391" s="1"/>
      <c r="IV391" s="1"/>
      <c r="IW391" s="1"/>
      <c r="IX391" s="1"/>
      <c r="IY391" s="1"/>
      <c r="IZ391" s="1"/>
      <c r="JA391" s="1"/>
      <c r="JB391" s="1"/>
      <c r="JC391" s="1"/>
      <c r="JD391" s="135"/>
    </row>
    <row r="392" spans="9:264">
      <c r="I392" s="22"/>
      <c r="J392" s="156" t="s">
        <v>1272</v>
      </c>
      <c r="K392" s="156" t="s">
        <v>1272</v>
      </c>
      <c r="L392" s="22">
        <v>18</v>
      </c>
      <c r="M392" s="22">
        <v>19</v>
      </c>
      <c r="N392" s="22">
        <v>58</v>
      </c>
      <c r="O392" s="22">
        <v>-17</v>
      </c>
      <c r="P392" s="22">
        <v>-6</v>
      </c>
      <c r="Q392" s="22">
        <v>0</v>
      </c>
      <c r="R392" s="22" t="s">
        <v>1273</v>
      </c>
      <c r="S392" s="22" t="s">
        <v>1274</v>
      </c>
      <c r="AJ392" s="175"/>
      <c r="AK392" s="175"/>
      <c r="AL392" s="175"/>
      <c r="AM392" s="175"/>
      <c r="AN392" s="175"/>
      <c r="AO392" s="175"/>
      <c r="AP392" s="175"/>
      <c r="AS392" s="3"/>
      <c r="BD392" s="97"/>
      <c r="EL392" s="3"/>
      <c r="EM392" s="3"/>
      <c r="FK392" s="135"/>
      <c r="HK392" s="170"/>
      <c r="HM392" s="1" t="s">
        <v>3935</v>
      </c>
      <c r="IB392" s="170"/>
      <c r="IG392" s="1"/>
      <c r="IH392" s="1"/>
      <c r="II392" s="1"/>
      <c r="IJ392" s="1"/>
      <c r="IK392" s="1"/>
      <c r="IL392" s="1"/>
      <c r="IM392" s="1"/>
      <c r="IN392" s="1"/>
      <c r="IO392" s="1"/>
      <c r="IP392" s="1"/>
      <c r="IQ392" s="1"/>
      <c r="IR392" s="1"/>
      <c r="IS392" s="1"/>
      <c r="IT392" s="1"/>
      <c r="IU392" s="1"/>
      <c r="IV392" s="1"/>
      <c r="IW392" s="1"/>
      <c r="IX392" s="1"/>
      <c r="IY392" s="1"/>
      <c r="IZ392" s="1"/>
      <c r="JA392" s="1"/>
      <c r="JB392" s="1"/>
      <c r="JC392" s="1"/>
      <c r="JD392" s="135"/>
    </row>
    <row r="393" spans="9:264">
      <c r="I393" s="22"/>
      <c r="J393" s="156" t="s">
        <v>1275</v>
      </c>
      <c r="K393" s="156" t="s">
        <v>1275</v>
      </c>
      <c r="L393" s="22">
        <v>17</v>
      </c>
      <c r="M393" s="22">
        <v>2</v>
      </c>
      <c r="N393" s="22">
        <v>37.700000000000003</v>
      </c>
      <c r="O393" s="22">
        <v>-26</v>
      </c>
      <c r="P393" s="22">
        <v>-16</v>
      </c>
      <c r="Q393" s="22">
        <v>-5</v>
      </c>
      <c r="R393" s="22" t="s">
        <v>1276</v>
      </c>
      <c r="S393" s="22" t="s">
        <v>1277</v>
      </c>
      <c r="AJ393" s="175"/>
      <c r="AK393" s="175"/>
      <c r="AL393" s="175"/>
      <c r="AM393" s="175"/>
      <c r="AN393" s="175"/>
      <c r="AO393" s="175"/>
      <c r="AP393" s="175"/>
      <c r="AS393" s="3"/>
      <c r="BD393" s="97"/>
      <c r="EL393" s="3"/>
      <c r="EM393" s="3"/>
      <c r="FK393" s="135"/>
      <c r="HK393" s="170"/>
      <c r="HM393" s="1" t="s">
        <v>3738</v>
      </c>
      <c r="HN393" s="1">
        <f>IF(HN274=HM393,20,0)</f>
        <v>0</v>
      </c>
      <c r="IB393" s="170"/>
      <c r="IG393" s="1"/>
      <c r="IH393" s="1"/>
      <c r="II393" s="1"/>
      <c r="IJ393" s="1"/>
      <c r="IK393" s="1"/>
      <c r="IL393" s="1"/>
      <c r="IM393" s="1"/>
      <c r="IN393" s="1"/>
      <c r="IO393" s="1"/>
      <c r="IP393" s="1"/>
      <c r="IQ393" s="1"/>
      <c r="IR393" s="1"/>
      <c r="IS393" s="1"/>
      <c r="IT393" s="1"/>
      <c r="IU393" s="1"/>
      <c r="IV393" s="1"/>
      <c r="IW393" s="1"/>
      <c r="IX393" s="1"/>
      <c r="IY393" s="1"/>
      <c r="IZ393" s="1"/>
      <c r="JA393" s="1"/>
      <c r="JB393" s="1"/>
      <c r="JC393" s="1"/>
      <c r="JD393" s="135"/>
    </row>
    <row r="394" spans="9:264">
      <c r="I394" s="22"/>
      <c r="J394" s="156" t="s">
        <v>1278</v>
      </c>
      <c r="K394" s="156" t="s">
        <v>1278</v>
      </c>
      <c r="L394" s="22">
        <v>18</v>
      </c>
      <c r="M394" s="22">
        <v>2</v>
      </c>
      <c r="N394" s="22">
        <v>42</v>
      </c>
      <c r="O394" s="22">
        <v>-23</v>
      </c>
      <c r="P394" s="22">
        <v>-58</v>
      </c>
      <c r="Q394" s="22">
        <v>-1</v>
      </c>
      <c r="R394" s="22" t="s">
        <v>1279</v>
      </c>
      <c r="S394" s="22" t="s">
        <v>1280</v>
      </c>
      <c r="AJ394" s="175"/>
      <c r="AK394" s="175"/>
      <c r="AL394" s="175"/>
      <c r="AM394" s="175"/>
      <c r="AN394" s="175"/>
      <c r="AO394" s="175"/>
      <c r="AP394" s="175"/>
      <c r="AS394" s="3"/>
      <c r="BD394" s="97"/>
      <c r="EL394" s="3"/>
      <c r="EM394" s="3"/>
      <c r="FK394" s="135"/>
      <c r="HK394" s="170"/>
      <c r="HM394" s="1" t="s">
        <v>4054</v>
      </c>
      <c r="HN394" s="1">
        <f>IF(HN274=HM394,20,0)</f>
        <v>0</v>
      </c>
      <c r="IB394" s="170"/>
      <c r="IG394" s="1"/>
      <c r="IH394" s="1"/>
      <c r="II394" s="1"/>
      <c r="IJ394" s="1"/>
      <c r="IK394" s="1"/>
      <c r="IL394" s="1"/>
      <c r="IM394" s="1"/>
      <c r="IN394" s="1"/>
      <c r="IO394" s="1"/>
      <c r="IP394" s="1"/>
      <c r="IQ394" s="1"/>
      <c r="IR394" s="1"/>
      <c r="IS394" s="1"/>
      <c r="IT394" s="1"/>
      <c r="IU394" s="1"/>
      <c r="IV394" s="1"/>
      <c r="IW394" s="1"/>
      <c r="IX394" s="1"/>
      <c r="IY394" s="1"/>
      <c r="IZ394" s="1"/>
      <c r="JA394" s="1"/>
      <c r="JB394" s="1"/>
      <c r="JC394" s="1"/>
      <c r="JD394" s="135"/>
    </row>
    <row r="395" spans="9:264">
      <c r="I395" s="22"/>
      <c r="J395" s="156" t="s">
        <v>1281</v>
      </c>
      <c r="K395" s="156" t="s">
        <v>1281</v>
      </c>
      <c r="L395" s="22">
        <v>18</v>
      </c>
      <c r="M395" s="22">
        <v>4</v>
      </c>
      <c r="N395" s="22">
        <v>13</v>
      </c>
      <c r="O395" s="22">
        <v>-22</v>
      </c>
      <c r="P395" s="22">
        <v>-29</v>
      </c>
      <c r="Q395" s="22">
        <v>-2</v>
      </c>
      <c r="R395" s="22" t="s">
        <v>1282</v>
      </c>
      <c r="S395" s="22" t="s">
        <v>1283</v>
      </c>
      <c r="AJ395" s="175"/>
      <c r="AK395" s="175"/>
      <c r="AL395" s="175"/>
      <c r="AM395" s="175"/>
      <c r="AN395" s="175"/>
      <c r="AO395" s="175"/>
      <c r="AP395" s="175"/>
      <c r="AS395" s="3"/>
      <c r="BD395" s="97"/>
      <c r="EL395" s="3"/>
      <c r="EM395" s="3"/>
      <c r="FK395" s="135"/>
      <c r="HK395" s="170"/>
      <c r="HM395" s="1" t="s">
        <v>4055</v>
      </c>
      <c r="HN395" s="1">
        <f>IF(HN274=HM395,20,0)</f>
        <v>0</v>
      </c>
      <c r="IB395" s="170"/>
      <c r="IG395" s="1"/>
      <c r="IH395" s="1"/>
      <c r="II395" s="1"/>
      <c r="IJ395" s="1"/>
      <c r="IK395" s="1"/>
      <c r="IL395" s="1"/>
      <c r="IM395" s="1"/>
      <c r="IN395" s="1"/>
      <c r="IO395" s="1"/>
      <c r="IP395" s="1"/>
      <c r="IQ395" s="1"/>
      <c r="IR395" s="1"/>
      <c r="IS395" s="1"/>
      <c r="IT395" s="1"/>
      <c r="IU395" s="1"/>
      <c r="IV395" s="1"/>
      <c r="IW395" s="1"/>
      <c r="IX395" s="1"/>
      <c r="IY395" s="1"/>
      <c r="IZ395" s="1"/>
      <c r="JA395" s="1"/>
      <c r="JB395" s="1"/>
      <c r="JC395" s="1"/>
      <c r="JD395" s="135"/>
    </row>
    <row r="396" spans="9:264">
      <c r="I396" s="22"/>
      <c r="J396" s="156" t="s">
        <v>1284</v>
      </c>
      <c r="K396" s="156" t="s">
        <v>1284</v>
      </c>
      <c r="L396" s="22">
        <v>18</v>
      </c>
      <c r="M396" s="22">
        <v>36</v>
      </c>
      <c r="N396" s="22">
        <v>23.9</v>
      </c>
      <c r="O396" s="22">
        <v>-23</v>
      </c>
      <c r="P396" s="22">
        <v>-54</v>
      </c>
      <c r="Q396" s="22">
        <v>-17</v>
      </c>
      <c r="R396" s="22" t="s">
        <v>1285</v>
      </c>
      <c r="S396" s="22" t="s">
        <v>1286</v>
      </c>
      <c r="AJ396" s="175"/>
      <c r="AK396" s="175"/>
      <c r="AL396" s="175"/>
      <c r="AM396" s="175"/>
      <c r="AN396" s="175"/>
      <c r="AO396" s="175"/>
      <c r="AP396" s="175"/>
      <c r="AS396" s="3"/>
      <c r="BD396" s="97"/>
      <c r="EL396" s="3"/>
      <c r="EM396" s="3"/>
      <c r="FK396" s="135"/>
      <c r="HK396" s="170"/>
      <c r="HM396" s="1" t="s">
        <v>3937</v>
      </c>
      <c r="HN396" s="1">
        <f>IF(HN274=HM396,20,0)</f>
        <v>0</v>
      </c>
      <c r="IB396" s="170"/>
      <c r="IG396" s="1"/>
      <c r="IH396" s="1"/>
      <c r="II396" s="1"/>
      <c r="IJ396" s="1"/>
      <c r="IK396" s="1"/>
      <c r="IL396" s="1"/>
      <c r="IM396" s="1"/>
      <c r="IN396" s="1"/>
      <c r="IO396" s="1"/>
      <c r="IP396" s="1"/>
      <c r="IQ396" s="1"/>
      <c r="IR396" s="1"/>
      <c r="IS396" s="1"/>
      <c r="IT396" s="1"/>
      <c r="IU396" s="1"/>
      <c r="IV396" s="1"/>
      <c r="IW396" s="1"/>
      <c r="IX396" s="1"/>
      <c r="IY396" s="1"/>
      <c r="IZ396" s="1"/>
      <c r="JA396" s="1"/>
      <c r="JB396" s="1"/>
      <c r="JC396" s="1"/>
      <c r="JD396" s="135"/>
    </row>
    <row r="397" spans="9:264">
      <c r="I397" s="22"/>
      <c r="J397" s="156" t="s">
        <v>1287</v>
      </c>
      <c r="K397" s="156" t="s">
        <v>1287</v>
      </c>
      <c r="L397" s="22">
        <v>17</v>
      </c>
      <c r="M397" s="22">
        <v>57</v>
      </c>
      <c r="N397" s="22">
        <v>4</v>
      </c>
      <c r="O397" s="22">
        <v>-18</v>
      </c>
      <c r="P397" s="22">
        <v>-59</v>
      </c>
      <c r="Q397" s="22">
        <v>0</v>
      </c>
      <c r="R397" s="22" t="s">
        <v>1288</v>
      </c>
      <c r="S397" s="22" t="s">
        <v>1289</v>
      </c>
      <c r="AJ397" s="175"/>
      <c r="AK397" s="175"/>
      <c r="AL397" s="175"/>
      <c r="AM397" s="175"/>
      <c r="AN397" s="175"/>
      <c r="AO397" s="175"/>
      <c r="AP397" s="175"/>
      <c r="AS397" s="3"/>
      <c r="BD397" s="97"/>
      <c r="EL397" s="3"/>
      <c r="EM397" s="3"/>
      <c r="FK397" s="135"/>
      <c r="HK397" s="170"/>
      <c r="HM397" s="1" t="s">
        <v>3939</v>
      </c>
      <c r="HN397" s="1">
        <f>IF(HN274=HM397,20,0)</f>
        <v>0</v>
      </c>
      <c r="IB397" s="170"/>
      <c r="IG397" s="1"/>
      <c r="IH397" s="1"/>
      <c r="II397" s="1"/>
      <c r="IJ397" s="1"/>
      <c r="IK397" s="1"/>
      <c r="IL397" s="1"/>
      <c r="IM397" s="1"/>
      <c r="IN397" s="1"/>
      <c r="IO397" s="1"/>
      <c r="IP397" s="1"/>
      <c r="IQ397" s="1"/>
      <c r="IR397" s="1"/>
      <c r="IS397" s="1"/>
      <c r="IT397" s="1"/>
      <c r="IU397" s="1"/>
      <c r="IV397" s="1"/>
      <c r="IW397" s="1"/>
      <c r="IX397" s="1"/>
      <c r="IY397" s="1"/>
      <c r="IZ397" s="1"/>
      <c r="JA397" s="1"/>
      <c r="JB397" s="1"/>
      <c r="JC397" s="1"/>
      <c r="JD397" s="135"/>
    </row>
    <row r="398" spans="9:264">
      <c r="I398" s="22"/>
      <c r="J398" s="156" t="s">
        <v>1290</v>
      </c>
      <c r="K398" s="156" t="s">
        <v>1290</v>
      </c>
      <c r="L398" s="22">
        <v>18</v>
      </c>
      <c r="M398" s="22">
        <v>16</v>
      </c>
      <c r="N398" s="22">
        <v>4</v>
      </c>
      <c r="O398" s="22">
        <v>-18</v>
      </c>
      <c r="P398" s="22">
        <v>-33</v>
      </c>
      <c r="Q398" s="22">
        <v>0</v>
      </c>
      <c r="R398" s="22" t="s">
        <v>1291</v>
      </c>
      <c r="S398" s="22" t="s">
        <v>1292</v>
      </c>
      <c r="AJ398" s="175"/>
      <c r="AK398" s="175"/>
      <c r="AL398" s="175"/>
      <c r="AM398" s="175"/>
      <c r="AN398" s="175"/>
      <c r="AO398" s="175"/>
      <c r="AP398" s="175"/>
      <c r="AS398" s="3"/>
      <c r="BD398" s="97"/>
      <c r="EL398" s="3"/>
      <c r="EM398" s="3"/>
      <c r="FK398" s="135"/>
      <c r="HK398" s="170"/>
      <c r="HM398" s="1" t="s">
        <v>3688</v>
      </c>
      <c r="HN398" s="170">
        <f>HN397+HN396+HN393+HN394+HN395</f>
        <v>0</v>
      </c>
      <c r="IB398" s="170"/>
      <c r="IG398" s="1"/>
      <c r="IH398" s="1"/>
      <c r="II398" s="1"/>
      <c r="IJ398" s="1"/>
      <c r="IK398" s="1"/>
      <c r="IL398" s="1"/>
      <c r="IM398" s="1"/>
      <c r="IN398" s="1"/>
      <c r="IO398" s="1"/>
      <c r="IP398" s="1"/>
      <c r="IQ398" s="1"/>
      <c r="IR398" s="1"/>
      <c r="IS398" s="1"/>
      <c r="IT398" s="1"/>
      <c r="IU398" s="1"/>
      <c r="IV398" s="1"/>
      <c r="IW398" s="1"/>
      <c r="IX398" s="1"/>
      <c r="IY398" s="1"/>
      <c r="IZ398" s="1"/>
      <c r="JA398" s="1"/>
      <c r="JB398" s="1"/>
      <c r="JC398" s="1"/>
      <c r="JD398" s="135"/>
    </row>
    <row r="399" spans="9:264">
      <c r="I399" s="22"/>
      <c r="J399" s="156" t="s">
        <v>1293</v>
      </c>
      <c r="K399" s="156" t="s">
        <v>1293</v>
      </c>
      <c r="L399" s="22">
        <v>18</v>
      </c>
      <c r="M399" s="22">
        <v>31</v>
      </c>
      <c r="N399" s="22">
        <v>47</v>
      </c>
      <c r="O399" s="22">
        <v>-19</v>
      </c>
      <c r="P399" s="22">
        <v>-7</v>
      </c>
      <c r="Q399" s="22">
        <v>0</v>
      </c>
      <c r="R399" s="22" t="s">
        <v>1294</v>
      </c>
      <c r="S399" s="22" t="s">
        <v>1295</v>
      </c>
      <c r="AI399" s="5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BD399" s="97"/>
      <c r="EL399" s="3"/>
      <c r="EM399" s="3"/>
      <c r="FK399" s="135"/>
      <c r="HK399" s="170"/>
      <c r="HM399" s="191">
        <v>21</v>
      </c>
      <c r="IB399" s="170"/>
      <c r="IG399" s="1"/>
      <c r="IH399" s="1"/>
      <c r="II399" s="1"/>
      <c r="IJ399" s="1"/>
      <c r="IK399" s="1"/>
      <c r="IL399" s="1"/>
      <c r="IM399" s="1"/>
      <c r="IN399" s="1"/>
      <c r="IO399" s="1"/>
      <c r="IP399" s="1"/>
      <c r="IQ399" s="1"/>
      <c r="IR399" s="1"/>
      <c r="IS399" s="1"/>
      <c r="IT399" s="1"/>
      <c r="IU399" s="1"/>
      <c r="IV399" s="1"/>
      <c r="IW399" s="1"/>
      <c r="IX399" s="1"/>
      <c r="IY399" s="1"/>
      <c r="IZ399" s="1"/>
      <c r="JA399" s="1"/>
      <c r="JB399" s="1"/>
      <c r="JC399" s="1"/>
      <c r="JD399" s="135"/>
    </row>
    <row r="400" spans="9:264">
      <c r="I400" s="22"/>
      <c r="J400" s="156" t="s">
        <v>1296</v>
      </c>
      <c r="K400" s="156" t="s">
        <v>1296</v>
      </c>
      <c r="L400" s="22">
        <v>18</v>
      </c>
      <c r="M400" s="22">
        <v>45</v>
      </c>
      <c r="N400" s="22">
        <v>18</v>
      </c>
      <c r="O400" s="22">
        <v>-9</v>
      </c>
      <c r="P400" s="22">
        <v>-23</v>
      </c>
      <c r="Q400" s="22">
        <v>0</v>
      </c>
      <c r="R400" s="22" t="s">
        <v>1297</v>
      </c>
      <c r="S400" s="22" t="s">
        <v>1298</v>
      </c>
      <c r="AJ400" s="175"/>
      <c r="AK400" s="175"/>
      <c r="AL400" s="175"/>
      <c r="AM400" s="175"/>
      <c r="AN400" s="175"/>
      <c r="AO400" s="175"/>
      <c r="AP400" s="175"/>
      <c r="AS400" s="3"/>
      <c r="BD400" s="97"/>
      <c r="EL400" s="3"/>
      <c r="EM400" s="3"/>
      <c r="FK400" s="135"/>
      <c r="HK400" s="170"/>
      <c r="HM400" s="1" t="s">
        <v>3941</v>
      </c>
      <c r="IB400" s="170"/>
      <c r="IG400" s="1"/>
      <c r="IH400" s="1"/>
      <c r="II400" s="1"/>
      <c r="IJ400" s="1"/>
      <c r="IK400" s="1"/>
      <c r="IL400" s="1"/>
      <c r="IM400" s="1"/>
      <c r="IN400" s="1"/>
      <c r="IO400" s="1"/>
      <c r="IP400" s="1"/>
      <c r="IQ400" s="1"/>
      <c r="IR400" s="1"/>
      <c r="IS400" s="1"/>
      <c r="IT400" s="1"/>
      <c r="IU400" s="1"/>
      <c r="IV400" s="1"/>
      <c r="IW400" s="1"/>
      <c r="IX400" s="1"/>
      <c r="IY400" s="1"/>
      <c r="IZ400" s="1"/>
      <c r="JA400" s="1"/>
      <c r="JB400" s="1"/>
      <c r="JC400" s="1"/>
      <c r="JD400" s="135"/>
    </row>
    <row r="401" spans="9:264">
      <c r="I401" s="22"/>
      <c r="J401" s="156" t="s">
        <v>1299</v>
      </c>
      <c r="K401" s="156" t="s">
        <v>1299</v>
      </c>
      <c r="L401" s="22">
        <v>19</v>
      </c>
      <c r="M401" s="22">
        <v>59</v>
      </c>
      <c r="N401" s="22">
        <v>36.4</v>
      </c>
      <c r="O401" s="22">
        <v>22</v>
      </c>
      <c r="P401" s="22">
        <v>43</v>
      </c>
      <c r="Q401" s="22">
        <v>16</v>
      </c>
      <c r="R401" s="22" t="s">
        <v>1300</v>
      </c>
      <c r="S401" s="22" t="s">
        <v>1301</v>
      </c>
      <c r="AJ401" s="175"/>
      <c r="AK401" s="175"/>
      <c r="AL401" s="175"/>
      <c r="AM401" s="175"/>
      <c r="AN401" s="175"/>
      <c r="AO401" s="175"/>
      <c r="AP401" s="175"/>
      <c r="AS401" s="3"/>
      <c r="BD401" s="97"/>
      <c r="EL401" s="3"/>
      <c r="EM401" s="3"/>
      <c r="FK401" s="135"/>
      <c r="HK401" s="170"/>
      <c r="HM401" s="1" t="s">
        <v>3742</v>
      </c>
      <c r="HN401" s="1">
        <f>IF(HN274=HM401,21,0)</f>
        <v>0</v>
      </c>
      <c r="IB401" s="170"/>
      <c r="IG401" s="1"/>
      <c r="IH401" s="1"/>
      <c r="II401" s="1"/>
      <c r="IJ401" s="1"/>
      <c r="IK401" s="1"/>
      <c r="IL401" s="1"/>
      <c r="IM401" s="1"/>
      <c r="IN401" s="1"/>
      <c r="IO401" s="1"/>
      <c r="IP401" s="1"/>
      <c r="IQ401" s="1"/>
      <c r="IR401" s="1"/>
      <c r="IS401" s="1"/>
      <c r="IT401" s="1"/>
      <c r="IU401" s="1"/>
      <c r="IV401" s="1"/>
      <c r="IW401" s="1"/>
      <c r="IX401" s="1"/>
      <c r="IY401" s="1"/>
      <c r="IZ401" s="1"/>
      <c r="JA401" s="1"/>
      <c r="JB401" s="1"/>
      <c r="JC401" s="1"/>
      <c r="JD401" s="135"/>
    </row>
    <row r="402" spans="9:264">
      <c r="I402" s="22"/>
      <c r="J402" s="156" t="s">
        <v>1302</v>
      </c>
      <c r="K402" s="156" t="s">
        <v>1302</v>
      </c>
      <c r="L402" s="22">
        <v>18</v>
      </c>
      <c r="M402" s="22">
        <v>24</v>
      </c>
      <c r="N402" s="22">
        <v>32.9</v>
      </c>
      <c r="O402" s="22">
        <v>-24</v>
      </c>
      <c r="P402" s="22">
        <v>-52</v>
      </c>
      <c r="Q402" s="22">
        <v>-11</v>
      </c>
      <c r="R402" s="22" t="s">
        <v>1303</v>
      </c>
      <c r="S402" s="22" t="s">
        <v>1304</v>
      </c>
      <c r="AJ402" s="175"/>
      <c r="AK402" s="175"/>
      <c r="AL402" s="175"/>
      <c r="AM402" s="175"/>
      <c r="AN402" s="175"/>
      <c r="AO402" s="175"/>
      <c r="AP402" s="175"/>
      <c r="AS402" s="3"/>
      <c r="BD402" s="97"/>
      <c r="EL402" s="3"/>
      <c r="EM402" s="3"/>
      <c r="FK402" s="135"/>
      <c r="HK402" s="170"/>
      <c r="HM402" s="1" t="s">
        <v>3942</v>
      </c>
      <c r="HN402" s="1">
        <f>IF(HN274=HM402,21,0)</f>
        <v>0</v>
      </c>
      <c r="IB402" s="170"/>
      <c r="IG402" s="1"/>
      <c r="IH402" s="1"/>
      <c r="II402" s="1"/>
      <c r="IJ402" s="1"/>
      <c r="IK402" s="1"/>
      <c r="IL402" s="1"/>
      <c r="IM402" s="1"/>
      <c r="IN402" s="1"/>
      <c r="IO402" s="1"/>
      <c r="IP402" s="1"/>
      <c r="IQ402" s="1"/>
      <c r="IR402" s="1"/>
      <c r="IS402" s="1"/>
      <c r="IT402" s="1"/>
      <c r="IU402" s="1"/>
      <c r="IV402" s="1"/>
      <c r="IW402" s="1"/>
      <c r="IX402" s="1"/>
      <c r="IY402" s="1"/>
      <c r="IZ402" s="1"/>
      <c r="JA402" s="1"/>
      <c r="JB402" s="1"/>
      <c r="JC402" s="1"/>
      <c r="JD402" s="135"/>
    </row>
    <row r="403" spans="9:264">
      <c r="I403" s="22"/>
      <c r="J403" s="156" t="s">
        <v>1305</v>
      </c>
      <c r="K403" s="156" t="s">
        <v>1305</v>
      </c>
      <c r="L403" s="22">
        <v>20</v>
      </c>
      <c r="M403" s="22">
        <v>23</v>
      </c>
      <c r="N403" s="22">
        <v>56</v>
      </c>
      <c r="O403" s="22">
        <v>38</v>
      </c>
      <c r="P403" s="22">
        <v>31</v>
      </c>
      <c r="Q403" s="22">
        <v>2</v>
      </c>
      <c r="R403" s="22" t="s">
        <v>1306</v>
      </c>
      <c r="S403" s="22" t="s">
        <v>1307</v>
      </c>
      <c r="AJ403" s="175"/>
      <c r="AK403" s="175"/>
      <c r="AL403" s="175"/>
      <c r="AM403" s="175"/>
      <c r="AN403" s="175"/>
      <c r="AO403" s="175"/>
      <c r="AP403" s="175"/>
      <c r="AS403" s="3"/>
      <c r="BD403" s="97"/>
      <c r="EL403" s="3"/>
      <c r="EM403" s="3"/>
      <c r="FK403" s="135"/>
      <c r="HK403" s="170"/>
      <c r="HM403" s="1" t="s">
        <v>3944</v>
      </c>
      <c r="HN403" s="1">
        <f>IF(HN274=HM403,21,0)</f>
        <v>0</v>
      </c>
      <c r="IB403" s="170"/>
      <c r="IG403" s="1"/>
      <c r="IH403" s="1"/>
      <c r="II403" s="1"/>
      <c r="IJ403" s="1"/>
      <c r="IK403" s="1"/>
      <c r="IL403" s="1"/>
      <c r="IM403" s="1"/>
      <c r="IN403" s="1"/>
      <c r="IO403" s="1"/>
      <c r="IP403" s="1"/>
      <c r="IQ403" s="1"/>
      <c r="IR403" s="1"/>
      <c r="IS403" s="1"/>
      <c r="IT403" s="1"/>
      <c r="IU403" s="1"/>
      <c r="IV403" s="1"/>
      <c r="IW403" s="1"/>
      <c r="IX403" s="1"/>
      <c r="IY403" s="1"/>
      <c r="IZ403" s="1"/>
      <c r="JA403" s="1"/>
      <c r="JB403" s="1"/>
      <c r="JC403" s="1"/>
      <c r="JD403" s="135"/>
    </row>
    <row r="404" spans="9:264">
      <c r="I404" s="22"/>
      <c r="J404" s="156" t="s">
        <v>1308</v>
      </c>
      <c r="K404" s="156" t="s">
        <v>1308</v>
      </c>
      <c r="L404" s="22">
        <v>21</v>
      </c>
      <c r="M404" s="22">
        <v>40</v>
      </c>
      <c r="N404" s="22">
        <v>22.1</v>
      </c>
      <c r="O404" s="22">
        <v>-23</v>
      </c>
      <c r="P404" s="22">
        <v>-10</v>
      </c>
      <c r="Q404" s="22">
        <v>-47</v>
      </c>
      <c r="R404" s="22" t="s">
        <v>1309</v>
      </c>
      <c r="S404" s="22" t="s">
        <v>1310</v>
      </c>
      <c r="AJ404" s="175"/>
      <c r="AK404" s="175"/>
      <c r="AL404" s="175"/>
      <c r="AM404" s="175"/>
      <c r="AN404" s="175"/>
      <c r="AO404" s="175"/>
      <c r="AP404" s="175"/>
      <c r="AS404" s="3"/>
      <c r="BD404" s="97"/>
      <c r="EL404" s="3"/>
      <c r="EM404" s="3"/>
      <c r="FK404" s="135"/>
      <c r="HK404" s="170"/>
      <c r="HM404" s="1" t="s">
        <v>3688</v>
      </c>
      <c r="HN404" s="170">
        <f>HN401+HN402+HN403</f>
        <v>0</v>
      </c>
      <c r="IB404" s="170"/>
      <c r="IG404" s="1"/>
      <c r="IH404" s="1"/>
      <c r="II404" s="1"/>
      <c r="IJ404" s="1"/>
      <c r="IK404" s="1"/>
      <c r="IL404" s="1"/>
      <c r="IM404" s="1"/>
      <c r="IN404" s="1"/>
      <c r="IO404" s="1"/>
      <c r="IP404" s="1"/>
      <c r="IQ404" s="1"/>
      <c r="IR404" s="1"/>
      <c r="IS404" s="1"/>
      <c r="IT404" s="1"/>
      <c r="IU404" s="1"/>
      <c r="IV404" s="1"/>
      <c r="IW404" s="1"/>
      <c r="IX404" s="1"/>
      <c r="IY404" s="1"/>
      <c r="IZ404" s="1"/>
      <c r="JA404" s="1"/>
      <c r="JB404" s="1"/>
      <c r="JC404" s="1"/>
      <c r="JD404" s="135"/>
    </row>
    <row r="405" spans="9:264">
      <c r="I405" s="22"/>
      <c r="J405" s="156" t="s">
        <v>1311</v>
      </c>
      <c r="K405" s="156" t="s">
        <v>1311</v>
      </c>
      <c r="L405" s="22">
        <v>0</v>
      </c>
      <c r="M405" s="22">
        <v>42</v>
      </c>
      <c r="N405" s="22">
        <v>44.3</v>
      </c>
      <c r="O405" s="22">
        <v>41</v>
      </c>
      <c r="P405" s="22">
        <v>16</v>
      </c>
      <c r="Q405" s="22">
        <v>8</v>
      </c>
      <c r="R405" s="22" t="s">
        <v>1312</v>
      </c>
      <c r="S405" s="22" t="s">
        <v>1313</v>
      </c>
      <c r="AJ405" s="175"/>
      <c r="AK405" s="175"/>
      <c r="AL405" s="175"/>
      <c r="AM405" s="175"/>
      <c r="AN405" s="175"/>
      <c r="AO405" s="175"/>
      <c r="AP405" s="175"/>
      <c r="AS405" s="3"/>
      <c r="BD405" s="97"/>
      <c r="EL405" s="3"/>
      <c r="EM405" s="3"/>
      <c r="FK405" s="135"/>
      <c r="HK405" s="170"/>
      <c r="HM405" s="191">
        <v>22</v>
      </c>
      <c r="IB405" s="170"/>
      <c r="IG405" s="1"/>
      <c r="IH405" s="1"/>
      <c r="II405" s="1"/>
      <c r="IJ405" s="1"/>
      <c r="IK405" s="1"/>
      <c r="IL405" s="1"/>
      <c r="IM405" s="1"/>
      <c r="IN405" s="1"/>
      <c r="IO405" s="1"/>
      <c r="IP405" s="1"/>
      <c r="IQ405" s="1"/>
      <c r="IR405" s="1"/>
      <c r="IS405" s="1"/>
      <c r="IT405" s="1"/>
      <c r="IU405" s="1"/>
      <c r="IV405" s="1"/>
      <c r="IW405" s="1"/>
      <c r="IX405" s="1"/>
      <c r="IY405" s="1"/>
      <c r="IZ405" s="1"/>
      <c r="JA405" s="1"/>
      <c r="JB405" s="1"/>
      <c r="JC405" s="1"/>
      <c r="JD405" s="135"/>
    </row>
    <row r="406" spans="9:264">
      <c r="I406" s="22"/>
      <c r="J406" s="156" t="s">
        <v>1314</v>
      </c>
      <c r="K406" s="156" t="s">
        <v>1314</v>
      </c>
      <c r="L406" s="22">
        <v>1</v>
      </c>
      <c r="M406" s="22">
        <v>33</v>
      </c>
      <c r="N406" s="22">
        <v>50.9</v>
      </c>
      <c r="O406" s="22">
        <v>30</v>
      </c>
      <c r="P406" s="22">
        <v>39</v>
      </c>
      <c r="Q406" s="22">
        <v>36</v>
      </c>
      <c r="R406" s="22" t="s">
        <v>1315</v>
      </c>
      <c r="S406" s="22" t="s">
        <v>1316</v>
      </c>
      <c r="AJ406" s="175"/>
      <c r="AK406" s="175"/>
      <c r="AL406" s="175"/>
      <c r="AM406" s="175"/>
      <c r="AN406" s="175"/>
      <c r="AO406" s="175"/>
      <c r="AP406" s="175"/>
      <c r="AS406" s="3"/>
      <c r="BD406" s="97"/>
      <c r="EL406" s="3"/>
      <c r="EM406" s="3"/>
      <c r="FK406" s="135"/>
      <c r="HK406" s="170"/>
      <c r="HM406" s="1" t="s">
        <v>3946</v>
      </c>
      <c r="IB406" s="170"/>
      <c r="IG406" s="1"/>
      <c r="IH406" s="1"/>
      <c r="II406" s="1"/>
      <c r="IJ406" s="1"/>
      <c r="IK406" s="1"/>
      <c r="IL406" s="1"/>
      <c r="IM406" s="1"/>
      <c r="IN406" s="1"/>
      <c r="IO406" s="1"/>
      <c r="IP406" s="1"/>
      <c r="IQ406" s="1"/>
      <c r="IR406" s="1"/>
      <c r="IS406" s="1"/>
      <c r="IT406" s="1"/>
      <c r="IU406" s="1"/>
      <c r="IV406" s="1"/>
      <c r="IW406" s="1"/>
      <c r="IX406" s="1"/>
      <c r="IY406" s="1"/>
      <c r="IZ406" s="1"/>
      <c r="JA406" s="1"/>
      <c r="JB406" s="1"/>
      <c r="JC406" s="1"/>
      <c r="JD406" s="135"/>
    </row>
    <row r="407" spans="9:264">
      <c r="I407" s="22"/>
      <c r="J407" s="156" t="s">
        <v>1317</v>
      </c>
      <c r="K407" s="156" t="s">
        <v>1317</v>
      </c>
      <c r="L407" s="22">
        <v>6</v>
      </c>
      <c r="M407" s="22">
        <v>8</v>
      </c>
      <c r="N407" s="22">
        <v>24</v>
      </c>
      <c r="O407" s="22">
        <v>24</v>
      </c>
      <c r="P407" s="22">
        <v>20</v>
      </c>
      <c r="Q407" s="22">
        <v>0</v>
      </c>
      <c r="R407" s="22" t="s">
        <v>1318</v>
      </c>
      <c r="S407" s="22" t="s">
        <v>1319</v>
      </c>
      <c r="AJ407" s="175"/>
      <c r="AK407" s="175"/>
      <c r="AL407" s="175"/>
      <c r="AM407" s="175"/>
      <c r="AN407" s="175"/>
      <c r="AO407" s="175"/>
      <c r="AP407" s="175"/>
      <c r="AS407" s="3"/>
      <c r="BD407" s="97"/>
      <c r="EL407" s="3"/>
      <c r="EM407" s="3"/>
      <c r="FK407" s="135"/>
      <c r="HK407" s="170"/>
      <c r="HM407" s="1" t="s">
        <v>3746</v>
      </c>
      <c r="HN407" s="1">
        <f>IF(HN274=HM407,22,0)</f>
        <v>0</v>
      </c>
      <c r="IB407" s="170"/>
      <c r="IG407" s="1"/>
      <c r="IH407" s="1"/>
      <c r="II407" s="1"/>
      <c r="IJ407" s="1"/>
      <c r="IK407" s="1"/>
      <c r="IL407" s="1"/>
      <c r="IM407" s="1"/>
      <c r="IN407" s="1"/>
      <c r="IO407" s="1"/>
      <c r="IP407" s="1"/>
      <c r="IQ407" s="1"/>
      <c r="IR407" s="1"/>
      <c r="IS407" s="1"/>
      <c r="IT407" s="1"/>
      <c r="IU407" s="1"/>
      <c r="IV407" s="1"/>
      <c r="IW407" s="1"/>
      <c r="IX407" s="1"/>
      <c r="IY407" s="1"/>
      <c r="IZ407" s="1"/>
      <c r="JA407" s="1"/>
      <c r="JB407" s="1"/>
      <c r="JC407" s="1"/>
      <c r="JD407" s="135"/>
    </row>
    <row r="408" spans="9:264">
      <c r="I408" s="22"/>
      <c r="J408" s="156" t="s">
        <v>1320</v>
      </c>
      <c r="K408" s="156" t="s">
        <v>1320</v>
      </c>
      <c r="L408" s="22">
        <v>5</v>
      </c>
      <c r="M408" s="22">
        <v>36</v>
      </c>
      <c r="N408" s="22">
        <v>18</v>
      </c>
      <c r="O408" s="22">
        <v>34</v>
      </c>
      <c r="P408" s="22">
        <v>8</v>
      </c>
      <c r="Q408" s="22">
        <v>2</v>
      </c>
      <c r="R408" s="22" t="s">
        <v>1321</v>
      </c>
      <c r="S408" s="22" t="s">
        <v>1322</v>
      </c>
      <c r="AJ408" s="175"/>
      <c r="AK408" s="175"/>
      <c r="AL408" s="175"/>
      <c r="AM408" s="175"/>
      <c r="AN408" s="175"/>
      <c r="AO408" s="175"/>
      <c r="AP408" s="175"/>
      <c r="AS408" s="3"/>
      <c r="BD408" s="97"/>
      <c r="EL408" s="3"/>
      <c r="EM408" s="3"/>
      <c r="FK408" s="135"/>
      <c r="HK408" s="170"/>
      <c r="HM408" s="1" t="s">
        <v>3949</v>
      </c>
      <c r="HN408" s="1">
        <f>IF(HN274=HM408,22,0)</f>
        <v>0</v>
      </c>
      <c r="IB408" s="170"/>
      <c r="IG408" s="1"/>
      <c r="IH408" s="1"/>
      <c r="II408" s="1"/>
      <c r="IJ408" s="1"/>
      <c r="IK408" s="1"/>
      <c r="IL408" s="1"/>
      <c r="IM408" s="1"/>
      <c r="IN408" s="1"/>
      <c r="IO408" s="1"/>
      <c r="IP408" s="1"/>
      <c r="IQ408" s="1"/>
      <c r="IR408" s="1"/>
      <c r="IS408" s="1"/>
      <c r="IT408" s="1"/>
      <c r="IU408" s="1"/>
      <c r="IV408" s="1"/>
      <c r="IW408" s="1"/>
      <c r="IX408" s="1"/>
      <c r="IY408" s="1"/>
      <c r="IZ408" s="1"/>
      <c r="JA408" s="1"/>
      <c r="JB408" s="1"/>
      <c r="JC408" s="1"/>
      <c r="JD408" s="135"/>
    </row>
    <row r="409" spans="9:264">
      <c r="I409" s="22"/>
      <c r="J409" s="156" t="s">
        <v>1323</v>
      </c>
      <c r="K409" s="156" t="s">
        <v>1323</v>
      </c>
      <c r="L409" s="22">
        <v>5</v>
      </c>
      <c r="M409" s="22">
        <v>52</v>
      </c>
      <c r="N409" s="22">
        <v>18</v>
      </c>
      <c r="O409" s="22">
        <v>32</v>
      </c>
      <c r="P409" s="22">
        <v>33</v>
      </c>
      <c r="Q409" s="22">
        <v>1</v>
      </c>
      <c r="R409" s="22" t="s">
        <v>1324</v>
      </c>
      <c r="S409" s="22" t="s">
        <v>1325</v>
      </c>
      <c r="AJ409" s="175"/>
      <c r="AK409" s="175"/>
      <c r="AL409" s="175"/>
      <c r="AM409" s="175"/>
      <c r="AN409" s="175"/>
      <c r="AO409" s="175"/>
      <c r="AP409" s="175"/>
      <c r="AS409" s="3"/>
      <c r="BD409" s="97"/>
      <c r="EL409" s="3"/>
      <c r="EM409" s="3"/>
      <c r="FK409" s="135"/>
      <c r="HK409" s="170"/>
      <c r="HM409" s="1" t="s">
        <v>3950</v>
      </c>
      <c r="HN409" s="1">
        <f>IF(HN274=HM409,22,0)</f>
        <v>0</v>
      </c>
      <c r="IB409" s="170"/>
      <c r="IG409" s="1"/>
      <c r="IH409" s="1"/>
      <c r="II409" s="1"/>
      <c r="IJ409" s="1"/>
      <c r="IK409" s="1"/>
      <c r="IL409" s="1"/>
      <c r="IM409" s="1"/>
      <c r="IN409" s="1"/>
      <c r="IO409" s="1"/>
      <c r="IP409" s="1"/>
      <c r="IQ409" s="1"/>
      <c r="IR409" s="1"/>
      <c r="IS409" s="1"/>
      <c r="IT409" s="1"/>
      <c r="IU409" s="1"/>
      <c r="IV409" s="1"/>
      <c r="IW409" s="1"/>
      <c r="IX409" s="1"/>
      <c r="IY409" s="1"/>
      <c r="IZ409" s="1"/>
      <c r="JA409" s="1"/>
      <c r="JB409" s="1"/>
      <c r="JC409" s="1"/>
      <c r="JD409" s="135"/>
    </row>
    <row r="410" spans="9:264">
      <c r="I410" s="22"/>
      <c r="J410" s="156" t="s">
        <v>1326</v>
      </c>
      <c r="K410" s="156" t="s">
        <v>1326</v>
      </c>
      <c r="L410" s="22">
        <v>5</v>
      </c>
      <c r="M410" s="22">
        <v>28</v>
      </c>
      <c r="N410" s="22">
        <v>43</v>
      </c>
      <c r="O410" s="22">
        <v>35</v>
      </c>
      <c r="P410" s="22">
        <v>51</v>
      </c>
      <c r="Q410" s="22">
        <v>1</v>
      </c>
      <c r="R410" s="22" t="s">
        <v>1327</v>
      </c>
      <c r="S410" s="22" t="s">
        <v>1328</v>
      </c>
      <c r="AJ410" s="175"/>
      <c r="AK410" s="175"/>
      <c r="AL410" s="175"/>
      <c r="AM410" s="175"/>
      <c r="AN410" s="175"/>
      <c r="AO410" s="175"/>
      <c r="AP410" s="175"/>
      <c r="AS410" s="3"/>
      <c r="BD410" s="97"/>
      <c r="EL410" s="3"/>
      <c r="EM410" s="3"/>
      <c r="FK410" s="135"/>
      <c r="HK410" s="170"/>
      <c r="HM410" s="1" t="s">
        <v>3951</v>
      </c>
      <c r="HN410" s="1">
        <f>IF(HN274=HM410,22,0)</f>
        <v>0</v>
      </c>
      <c r="IB410" s="170"/>
      <c r="IG410" s="1"/>
      <c r="IH410" s="1"/>
      <c r="II410" s="1"/>
      <c r="IJ410" s="1"/>
      <c r="IK410" s="1"/>
      <c r="IL410" s="1"/>
      <c r="IM410" s="1"/>
      <c r="IN410" s="1"/>
      <c r="IO410" s="1"/>
      <c r="IP410" s="1"/>
      <c r="IQ410" s="1"/>
      <c r="IR410" s="1"/>
      <c r="IS410" s="1"/>
      <c r="IT410" s="1"/>
      <c r="IU410" s="1"/>
      <c r="IV410" s="1"/>
      <c r="IW410" s="1"/>
      <c r="IX410" s="1"/>
      <c r="IY410" s="1"/>
      <c r="IZ410" s="1"/>
      <c r="JA410" s="1"/>
      <c r="JB410" s="1"/>
      <c r="JC410" s="1"/>
      <c r="JD410" s="135"/>
    </row>
    <row r="411" spans="9:264">
      <c r="I411" s="22"/>
      <c r="J411" s="156" t="s">
        <v>1329</v>
      </c>
      <c r="K411" s="156" t="s">
        <v>1329</v>
      </c>
      <c r="L411" s="22">
        <v>21</v>
      </c>
      <c r="M411" s="22">
        <v>31</v>
      </c>
      <c r="N411" s="22">
        <v>48</v>
      </c>
      <c r="O411" s="22">
        <v>48</v>
      </c>
      <c r="P411" s="22">
        <v>26</v>
      </c>
      <c r="Q411" s="22">
        <v>0</v>
      </c>
      <c r="R411" s="22" t="s">
        <v>1330</v>
      </c>
      <c r="S411" s="22" t="s">
        <v>1331</v>
      </c>
      <c r="AJ411" s="175"/>
      <c r="AK411" s="175"/>
      <c r="AL411" s="175"/>
      <c r="AM411" s="175"/>
      <c r="AN411" s="175"/>
      <c r="AO411" s="175"/>
      <c r="AP411" s="175"/>
      <c r="AS411" s="3"/>
      <c r="BD411" s="97"/>
      <c r="EL411" s="3"/>
      <c r="EM411" s="3"/>
      <c r="FK411" s="135"/>
      <c r="HK411" s="170"/>
      <c r="HM411" s="1" t="s">
        <v>3688</v>
      </c>
      <c r="HN411" s="170">
        <f>HN407+HN408+HN409+HN410</f>
        <v>0</v>
      </c>
      <c r="IB411" s="170"/>
      <c r="IG411" s="1"/>
      <c r="IH411" s="1"/>
      <c r="II411" s="1"/>
      <c r="IJ411" s="1"/>
      <c r="IK411" s="1"/>
      <c r="IL411" s="1"/>
      <c r="IM411" s="1"/>
      <c r="IN411" s="1"/>
      <c r="IO411" s="1"/>
      <c r="IP411" s="1"/>
      <c r="IQ411" s="1"/>
      <c r="IR411" s="1"/>
      <c r="IS411" s="1"/>
      <c r="IT411" s="1"/>
      <c r="IU411" s="1"/>
      <c r="IV411" s="1"/>
      <c r="IW411" s="1"/>
      <c r="IX411" s="1"/>
      <c r="IY411" s="1"/>
      <c r="IZ411" s="1"/>
      <c r="JA411" s="1"/>
      <c r="JB411" s="1"/>
      <c r="JC411" s="1"/>
      <c r="JD411" s="135"/>
    </row>
    <row r="412" spans="9:264">
      <c r="I412" s="22"/>
      <c r="J412" s="156" t="s">
        <v>1332</v>
      </c>
      <c r="K412" s="156" t="s">
        <v>1332</v>
      </c>
      <c r="L412" s="22">
        <v>6</v>
      </c>
      <c r="M412" s="22">
        <v>46</v>
      </c>
      <c r="N412" s="22">
        <v>1</v>
      </c>
      <c r="O412" s="22">
        <v>-20</v>
      </c>
      <c r="P412" s="22">
        <v>-45</v>
      </c>
      <c r="Q412" s="22">
        <v>-2</v>
      </c>
      <c r="R412" s="22" t="s">
        <v>1333</v>
      </c>
      <c r="S412" s="22" t="s">
        <v>1334</v>
      </c>
      <c r="AJ412" s="175"/>
      <c r="AK412" s="175"/>
      <c r="AL412" s="175"/>
      <c r="AM412" s="175"/>
      <c r="AN412" s="175"/>
      <c r="AO412" s="175"/>
      <c r="AP412" s="175"/>
      <c r="AS412" s="3"/>
      <c r="BD412" s="97"/>
      <c r="EL412" s="3"/>
      <c r="EM412" s="3"/>
      <c r="FK412" s="135"/>
      <c r="HK412" s="170"/>
      <c r="HM412" s="191">
        <v>23</v>
      </c>
      <c r="IB412" s="170"/>
      <c r="IG412" s="1"/>
      <c r="IH412" s="1"/>
      <c r="II412" s="1"/>
      <c r="IJ412" s="1"/>
      <c r="IK412" s="1"/>
      <c r="IL412" s="1"/>
      <c r="IM412" s="1"/>
      <c r="IN412" s="1"/>
      <c r="IO412" s="1"/>
      <c r="IP412" s="1"/>
      <c r="IQ412" s="1"/>
      <c r="IR412" s="1"/>
      <c r="IS412" s="1"/>
      <c r="IT412" s="1"/>
      <c r="IU412" s="1"/>
      <c r="IV412" s="1"/>
      <c r="IW412" s="1"/>
      <c r="IX412" s="1"/>
      <c r="IY412" s="1"/>
      <c r="IZ412" s="1"/>
      <c r="JA412" s="1"/>
      <c r="JB412" s="1"/>
      <c r="JC412" s="1"/>
      <c r="JD412" s="135"/>
    </row>
    <row r="413" spans="9:264">
      <c r="I413" s="22"/>
      <c r="J413" s="156" t="s">
        <v>1335</v>
      </c>
      <c r="K413" s="156" t="s">
        <v>1335</v>
      </c>
      <c r="L413" s="22">
        <v>5</v>
      </c>
      <c r="M413" s="22">
        <v>35</v>
      </c>
      <c r="N413" s="22">
        <v>17.3</v>
      </c>
      <c r="O413" s="22">
        <v>-5</v>
      </c>
      <c r="P413" s="22">
        <v>-23</v>
      </c>
      <c r="Q413" s="22">
        <v>-28</v>
      </c>
      <c r="R413" s="22" t="s">
        <v>1336</v>
      </c>
      <c r="S413" s="22" t="s">
        <v>1337</v>
      </c>
      <c r="AJ413" s="175"/>
      <c r="AK413" s="175"/>
      <c r="AL413" s="175"/>
      <c r="AM413" s="175"/>
      <c r="AN413" s="175"/>
      <c r="AO413" s="175"/>
      <c r="AP413" s="175"/>
      <c r="AS413" s="3"/>
      <c r="BD413" s="97"/>
      <c r="EL413" s="3"/>
      <c r="EM413" s="3"/>
      <c r="FK413" s="135"/>
      <c r="HK413" s="170"/>
      <c r="HM413" s="1" t="s">
        <v>3953</v>
      </c>
      <c r="IB413" s="170"/>
      <c r="IG413" s="1"/>
      <c r="IH413" s="1"/>
      <c r="II413" s="1"/>
      <c r="IJ413" s="1"/>
      <c r="IK413" s="1"/>
      <c r="IL413" s="1"/>
      <c r="IM413" s="1"/>
      <c r="IN413" s="1"/>
      <c r="IO413" s="1"/>
      <c r="IP413" s="1"/>
      <c r="IQ413" s="1"/>
      <c r="IR413" s="1"/>
      <c r="IS413" s="1"/>
      <c r="IT413" s="1"/>
      <c r="IU413" s="1"/>
      <c r="IV413" s="1"/>
      <c r="IW413" s="1"/>
      <c r="IX413" s="1"/>
      <c r="IY413" s="1"/>
      <c r="IZ413" s="1"/>
      <c r="JA413" s="1"/>
      <c r="JB413" s="1"/>
      <c r="JC413" s="1"/>
      <c r="JD413" s="135"/>
    </row>
    <row r="414" spans="9:264">
      <c r="I414" s="22"/>
      <c r="J414" s="156" t="s">
        <v>1338</v>
      </c>
      <c r="K414" s="156" t="s">
        <v>1338</v>
      </c>
      <c r="L414" s="22">
        <v>8</v>
      </c>
      <c r="M414" s="22">
        <v>40</v>
      </c>
      <c r="N414" s="22">
        <v>24</v>
      </c>
      <c r="O414" s="22">
        <v>19</v>
      </c>
      <c r="P414" s="22">
        <v>0</v>
      </c>
      <c r="Q414" s="22">
        <v>21</v>
      </c>
      <c r="R414" s="22" t="s">
        <v>1339</v>
      </c>
      <c r="S414" s="22" t="s">
        <v>1340</v>
      </c>
      <c r="AJ414" s="175"/>
      <c r="AK414" s="175"/>
      <c r="AL414" s="175"/>
      <c r="AM414" s="175"/>
      <c r="AN414" s="175"/>
      <c r="AO414" s="175"/>
      <c r="AP414" s="175"/>
      <c r="AS414" s="3"/>
      <c r="BD414" s="97"/>
      <c r="EL414" s="3"/>
      <c r="EM414" s="3"/>
      <c r="FK414" s="135"/>
      <c r="HK414" s="170"/>
      <c r="HM414" s="1" t="s">
        <v>3750</v>
      </c>
      <c r="HN414" s="1">
        <f>IF(HN274=HM414,23,0)</f>
        <v>0</v>
      </c>
      <c r="IB414" s="170"/>
      <c r="IG414" s="1"/>
      <c r="IH414" s="1"/>
      <c r="II414" s="1"/>
      <c r="IJ414" s="1"/>
      <c r="IK414" s="1"/>
      <c r="IL414" s="1"/>
      <c r="IM414" s="1"/>
      <c r="IN414" s="1"/>
      <c r="IO414" s="1"/>
      <c r="IP414" s="1"/>
      <c r="IQ414" s="1"/>
      <c r="IR414" s="1"/>
      <c r="IS414" s="1"/>
      <c r="IT414" s="1"/>
      <c r="IU414" s="1"/>
      <c r="IV414" s="1"/>
      <c r="IW414" s="1"/>
      <c r="IX414" s="1"/>
      <c r="IY414" s="1"/>
      <c r="IZ414" s="1"/>
      <c r="JA414" s="1"/>
      <c r="JB414" s="1"/>
      <c r="JC414" s="1"/>
      <c r="JD414" s="135"/>
    </row>
    <row r="415" spans="9:264">
      <c r="I415" s="22"/>
      <c r="J415" s="156" t="s">
        <v>1341</v>
      </c>
      <c r="K415" s="156" t="s">
        <v>1341</v>
      </c>
      <c r="L415" s="22">
        <v>7</v>
      </c>
      <c r="M415" s="22">
        <v>41</v>
      </c>
      <c r="N415" s="22">
        <v>46</v>
      </c>
      <c r="O415" s="22">
        <v>-14</v>
      </c>
      <c r="P415" s="22">
        <v>-48</v>
      </c>
      <c r="Q415" s="22">
        <v>-3</v>
      </c>
      <c r="R415" s="22" t="s">
        <v>1342</v>
      </c>
      <c r="S415" s="22" t="s">
        <v>1343</v>
      </c>
      <c r="AJ415" s="175"/>
      <c r="AK415" s="175"/>
      <c r="AL415" s="175"/>
      <c r="AM415" s="175"/>
      <c r="AN415" s="175"/>
      <c r="AO415" s="175"/>
      <c r="AP415" s="175"/>
      <c r="AS415" s="3"/>
      <c r="BD415" s="97"/>
      <c r="EL415" s="3"/>
      <c r="EM415" s="3"/>
      <c r="FK415" s="135"/>
      <c r="HK415" s="170"/>
      <c r="HM415" s="1" t="s">
        <v>3954</v>
      </c>
      <c r="HN415" s="1">
        <f>IF(HN274=HM415,23,0)</f>
        <v>0</v>
      </c>
      <c r="IB415" s="170"/>
      <c r="IG415" s="1"/>
      <c r="IH415" s="1"/>
      <c r="II415" s="1"/>
      <c r="IJ415" s="1"/>
      <c r="IK415" s="1"/>
      <c r="IL415" s="1"/>
      <c r="IM415" s="1"/>
      <c r="IN415" s="1"/>
      <c r="IO415" s="1"/>
      <c r="IP415" s="1"/>
      <c r="IQ415" s="1"/>
      <c r="IR415" s="1"/>
      <c r="IS415" s="1"/>
      <c r="IT415" s="1"/>
      <c r="IU415" s="1"/>
      <c r="IV415" s="1"/>
      <c r="IW415" s="1"/>
      <c r="IX415" s="1"/>
      <c r="IY415" s="1"/>
      <c r="IZ415" s="1"/>
      <c r="JA415" s="1"/>
      <c r="JB415" s="1"/>
      <c r="JC415" s="1"/>
      <c r="JD415" s="135"/>
    </row>
    <row r="416" spans="9:264">
      <c r="I416" s="22"/>
      <c r="J416" s="156" t="s">
        <v>1344</v>
      </c>
      <c r="K416" s="156" t="s">
        <v>1344</v>
      </c>
      <c r="L416" s="22">
        <v>7</v>
      </c>
      <c r="M416" s="22">
        <v>36</v>
      </c>
      <c r="N416" s="22">
        <v>35</v>
      </c>
      <c r="O416" s="22">
        <v>-14</v>
      </c>
      <c r="P416" s="22">
        <v>-29</v>
      </c>
      <c r="Q416" s="22">
        <v>0</v>
      </c>
      <c r="R416" s="22" t="s">
        <v>1345</v>
      </c>
      <c r="S416" s="22" t="s">
        <v>1346</v>
      </c>
      <c r="AJ416" s="175"/>
      <c r="AK416" s="175"/>
      <c r="AL416" s="175"/>
      <c r="AM416" s="175"/>
      <c r="AN416" s="175"/>
      <c r="AO416" s="175"/>
      <c r="AP416" s="175"/>
      <c r="AS416" s="3"/>
      <c r="BD416" s="97"/>
      <c r="EL416" s="3"/>
      <c r="EM416" s="3"/>
      <c r="FK416" s="135"/>
      <c r="HK416" s="170"/>
      <c r="HM416" s="1" t="s">
        <v>3688</v>
      </c>
      <c r="HN416" s="170">
        <f>HN415+HN414</f>
        <v>0</v>
      </c>
      <c r="IB416" s="170"/>
      <c r="IG416" s="1"/>
      <c r="IH416" s="1"/>
      <c r="II416" s="1"/>
      <c r="IJ416" s="1"/>
      <c r="IK416" s="1"/>
      <c r="IL416" s="1"/>
      <c r="IM416" s="1"/>
      <c r="IN416" s="1"/>
      <c r="IO416" s="1"/>
      <c r="IP416" s="1"/>
      <c r="IQ416" s="1"/>
      <c r="IR416" s="1"/>
      <c r="IS416" s="1"/>
      <c r="IT416" s="1"/>
      <c r="IU416" s="1"/>
      <c r="IV416" s="1"/>
      <c r="IW416" s="1"/>
      <c r="IX416" s="1"/>
      <c r="IY416" s="1"/>
      <c r="IZ416" s="1"/>
      <c r="JA416" s="1"/>
      <c r="JB416" s="1"/>
      <c r="JC416" s="1"/>
      <c r="JD416" s="135"/>
    </row>
    <row r="417" spans="9:264">
      <c r="I417" s="22"/>
      <c r="J417" s="156" t="s">
        <v>1347</v>
      </c>
      <c r="K417" s="156" t="s">
        <v>1347</v>
      </c>
      <c r="L417" s="22">
        <v>8</v>
      </c>
      <c r="M417" s="22">
        <v>13</v>
      </c>
      <c r="N417" s="22">
        <v>43</v>
      </c>
      <c r="O417" s="22">
        <v>-5</v>
      </c>
      <c r="P417" s="22">
        <v>-45</v>
      </c>
      <c r="Q417" s="22">
        <v>0</v>
      </c>
      <c r="R417" s="22" t="s">
        <v>1348</v>
      </c>
      <c r="S417" s="22" t="s">
        <v>1349</v>
      </c>
      <c r="AJ417" s="175"/>
      <c r="AK417" s="175"/>
      <c r="AL417" s="175"/>
      <c r="AM417" s="175"/>
      <c r="AN417" s="175"/>
      <c r="AO417" s="175"/>
      <c r="AP417" s="175"/>
      <c r="AS417" s="3"/>
      <c r="BD417" s="97"/>
      <c r="EL417" s="3"/>
      <c r="EM417" s="3"/>
      <c r="FK417" s="135"/>
      <c r="HK417" s="170"/>
      <c r="HM417" s="191">
        <v>24</v>
      </c>
      <c r="IB417" s="170"/>
      <c r="IG417" s="1"/>
      <c r="IH417" s="1"/>
      <c r="II417" s="1"/>
      <c r="IJ417" s="1"/>
      <c r="IK417" s="1"/>
      <c r="IL417" s="1"/>
      <c r="IM417" s="1"/>
      <c r="IN417" s="1"/>
      <c r="IO417" s="1"/>
      <c r="IP417" s="1"/>
      <c r="IQ417" s="1"/>
      <c r="IR417" s="1"/>
      <c r="IS417" s="1"/>
      <c r="IT417" s="1"/>
      <c r="IU417" s="1"/>
      <c r="IV417" s="1"/>
      <c r="IW417" s="1"/>
      <c r="IX417" s="1"/>
      <c r="IY417" s="1"/>
      <c r="IZ417" s="1"/>
      <c r="JA417" s="1"/>
      <c r="JB417" s="1"/>
      <c r="JC417" s="1"/>
      <c r="JD417" s="135"/>
    </row>
    <row r="418" spans="9:264">
      <c r="I418" s="22"/>
      <c r="J418" s="156" t="s">
        <v>1350</v>
      </c>
      <c r="K418" s="156" t="s">
        <v>1350</v>
      </c>
      <c r="L418" s="22">
        <v>12</v>
      </c>
      <c r="M418" s="22">
        <v>29</v>
      </c>
      <c r="N418" s="22">
        <v>46.8</v>
      </c>
      <c r="O418" s="22">
        <v>8</v>
      </c>
      <c r="P418" s="22">
        <v>0</v>
      </c>
      <c r="Q418" s="22">
        <v>1</v>
      </c>
      <c r="R418" s="22" t="s">
        <v>1351</v>
      </c>
      <c r="S418" s="22" t="s">
        <v>1352</v>
      </c>
      <c r="AJ418" s="175"/>
      <c r="AK418" s="175"/>
      <c r="AL418" s="175"/>
      <c r="AM418" s="175"/>
      <c r="AN418" s="175"/>
      <c r="AO418" s="175"/>
      <c r="AP418" s="175"/>
      <c r="AS418" s="3"/>
      <c r="BD418" s="97"/>
      <c r="EL418" s="3"/>
      <c r="EM418" s="3"/>
      <c r="FK418" s="135"/>
      <c r="HK418" s="170"/>
      <c r="HM418" s="1" t="s">
        <v>3955</v>
      </c>
      <c r="IB418" s="170"/>
      <c r="IG418" s="1"/>
      <c r="IH418" s="1"/>
      <c r="II418" s="1"/>
      <c r="IJ418" s="1"/>
      <c r="IK418" s="1"/>
      <c r="IL418" s="1"/>
      <c r="IM418" s="1"/>
      <c r="IN418" s="1"/>
      <c r="IO418" s="1"/>
      <c r="IP418" s="1"/>
      <c r="IQ418" s="1"/>
      <c r="IR418" s="1"/>
      <c r="IS418" s="1"/>
      <c r="IT418" s="1"/>
      <c r="IU418" s="1"/>
      <c r="IV418" s="1"/>
      <c r="IW418" s="1"/>
      <c r="IX418" s="1"/>
      <c r="IY418" s="1"/>
      <c r="IZ418" s="1"/>
      <c r="JA418" s="1"/>
      <c r="JB418" s="1"/>
      <c r="JC418" s="1"/>
      <c r="JD418" s="135"/>
    </row>
    <row r="419" spans="9:264">
      <c r="I419" s="22"/>
      <c r="J419" s="156" t="s">
        <v>1353</v>
      </c>
      <c r="K419" s="156" t="s">
        <v>1353</v>
      </c>
      <c r="L419" s="22">
        <v>7</v>
      </c>
      <c r="M419" s="22">
        <v>2</v>
      </c>
      <c r="N419" s="22">
        <v>47.5</v>
      </c>
      <c r="O419" s="22">
        <v>-8</v>
      </c>
      <c r="P419" s="22">
        <v>-20</v>
      </c>
      <c r="Q419" s="22">
        <v>-16</v>
      </c>
      <c r="R419" s="22" t="s">
        <v>1354</v>
      </c>
      <c r="S419" s="22" t="s">
        <v>1355</v>
      </c>
      <c r="AJ419" s="175"/>
      <c r="AK419" s="175"/>
      <c r="AL419" s="175"/>
      <c r="AM419" s="175"/>
      <c r="AN419" s="175"/>
      <c r="AO419" s="175"/>
      <c r="AP419" s="175"/>
      <c r="AS419" s="3"/>
      <c r="BD419" s="97"/>
      <c r="EL419" s="3"/>
      <c r="EM419" s="3"/>
      <c r="FK419" s="135"/>
      <c r="HK419" s="170"/>
      <c r="HL419" s="175"/>
      <c r="HM419" s="1" t="s">
        <v>3755</v>
      </c>
      <c r="HN419" s="1">
        <f>IF(HN274=HM419,24,0)</f>
        <v>0</v>
      </c>
      <c r="HO419" s="175"/>
      <c r="HP419" s="175"/>
      <c r="HQ419" s="175"/>
      <c r="HR419" s="175"/>
      <c r="HS419" s="175"/>
      <c r="HT419" s="175"/>
      <c r="HW419" s="175"/>
      <c r="HX419" s="175"/>
      <c r="HY419" s="175"/>
      <c r="HZ419" s="175"/>
      <c r="IA419" s="175"/>
      <c r="IB419" s="170"/>
      <c r="IG419" s="1"/>
      <c r="IH419" s="1"/>
      <c r="II419" s="1"/>
      <c r="IJ419" s="1"/>
      <c r="IK419" s="1"/>
      <c r="IL419" s="1"/>
      <c r="IM419" s="1"/>
      <c r="IN419" s="1"/>
      <c r="IO419" s="1"/>
      <c r="IP419" s="1"/>
      <c r="IQ419" s="1"/>
      <c r="IR419" s="1"/>
      <c r="IS419" s="1"/>
      <c r="IT419" s="1"/>
      <c r="IU419" s="1"/>
      <c r="IV419" s="1"/>
      <c r="IW419" s="1"/>
      <c r="IX419" s="1"/>
      <c r="IY419" s="1"/>
      <c r="IZ419" s="1"/>
      <c r="JA419" s="1"/>
      <c r="JB419" s="1"/>
      <c r="JC419" s="1"/>
      <c r="JD419" s="135"/>
    </row>
    <row r="420" spans="9:264">
      <c r="I420" s="35"/>
      <c r="J420" s="156" t="s">
        <v>1356</v>
      </c>
      <c r="K420" s="156" t="s">
        <v>1356</v>
      </c>
      <c r="L420" s="35">
        <v>13</v>
      </c>
      <c r="M420" s="35">
        <v>29</v>
      </c>
      <c r="N420" s="35">
        <v>52.7</v>
      </c>
      <c r="O420" s="35">
        <v>47</v>
      </c>
      <c r="P420" s="35">
        <v>11</v>
      </c>
      <c r="Q420" s="35">
        <v>43</v>
      </c>
      <c r="R420" s="22" t="s">
        <v>1357</v>
      </c>
      <c r="S420" s="22" t="s">
        <v>1358</v>
      </c>
      <c r="AJ420" s="175"/>
      <c r="AK420" s="175"/>
      <c r="AL420" s="175"/>
      <c r="AM420" s="175"/>
      <c r="AN420" s="175"/>
      <c r="AO420" s="175"/>
      <c r="AP420" s="175"/>
      <c r="AS420" s="3"/>
      <c r="BD420" s="97"/>
      <c r="EL420" s="3"/>
      <c r="EM420" s="3"/>
      <c r="FK420" s="135"/>
      <c r="HK420" s="170"/>
      <c r="HL420" s="175"/>
      <c r="HM420" s="1" t="s">
        <v>3956</v>
      </c>
      <c r="HN420" s="1">
        <f>IF(HN274=HM420,24,0)</f>
        <v>0</v>
      </c>
      <c r="HO420" s="175"/>
      <c r="HP420" s="175"/>
      <c r="HQ420" s="175"/>
      <c r="HR420" s="175"/>
      <c r="HS420" s="175"/>
      <c r="HT420" s="175"/>
      <c r="HW420" s="175"/>
      <c r="HX420" s="175"/>
      <c r="HY420" s="175"/>
      <c r="HZ420" s="175"/>
      <c r="IA420" s="175"/>
      <c r="IB420" s="170"/>
      <c r="IG420" s="1"/>
      <c r="IH420" s="1"/>
      <c r="II420" s="1"/>
      <c r="IJ420" s="1"/>
      <c r="IK420" s="1"/>
      <c r="IL420" s="1"/>
      <c r="IM420" s="1"/>
      <c r="IN420" s="1"/>
      <c r="IO420" s="1"/>
      <c r="IP420" s="1"/>
      <c r="IQ420" s="1"/>
      <c r="IR420" s="1"/>
      <c r="IS420" s="1"/>
      <c r="IT420" s="1"/>
      <c r="IU420" s="1"/>
      <c r="IV420" s="1"/>
      <c r="IW420" s="1"/>
      <c r="IX420" s="1"/>
      <c r="IY420" s="1"/>
      <c r="IZ420" s="1"/>
      <c r="JA420" s="1"/>
      <c r="JB420" s="1"/>
      <c r="JC420" s="1"/>
      <c r="JD420" s="135"/>
    </row>
    <row r="421" spans="9:264">
      <c r="I421" s="35"/>
      <c r="J421" s="156" t="s">
        <v>1359</v>
      </c>
      <c r="K421" s="156" t="s">
        <v>1359</v>
      </c>
      <c r="L421" s="35">
        <v>13</v>
      </c>
      <c r="M421" s="35">
        <v>12</v>
      </c>
      <c r="N421" s="35">
        <v>55.2</v>
      </c>
      <c r="O421" s="35">
        <v>18</v>
      </c>
      <c r="P421" s="35">
        <v>10</v>
      </c>
      <c r="Q421" s="35">
        <v>5</v>
      </c>
      <c r="R421" s="22" t="s">
        <v>1360</v>
      </c>
      <c r="S421" s="22" t="s">
        <v>1361</v>
      </c>
      <c r="AJ421" s="175"/>
      <c r="AK421" s="175"/>
      <c r="AL421" s="175"/>
      <c r="AM421" s="175"/>
      <c r="AN421" s="175"/>
      <c r="AO421" s="175"/>
      <c r="AP421" s="175"/>
      <c r="AS421" s="3"/>
      <c r="BD421" s="97"/>
      <c r="EL421" s="3"/>
      <c r="EM421" s="3"/>
      <c r="FK421" s="135"/>
      <c r="HK421" s="170"/>
      <c r="HL421" s="175"/>
      <c r="HM421" s="1" t="s">
        <v>3957</v>
      </c>
      <c r="HN421" s="1">
        <f>IF(HN274=HM421,24,0)</f>
        <v>0</v>
      </c>
      <c r="HO421" s="175"/>
      <c r="HP421" s="175"/>
      <c r="HQ421" s="236"/>
      <c r="HR421" s="175"/>
      <c r="HS421" s="175"/>
      <c r="HT421" s="175"/>
      <c r="HW421" s="175"/>
      <c r="HX421" s="175"/>
      <c r="HY421" s="175"/>
      <c r="HZ421" s="175"/>
      <c r="IA421" s="175"/>
      <c r="IB421" s="170"/>
      <c r="IG421" s="1"/>
      <c r="IH421" s="1"/>
      <c r="II421" s="1"/>
      <c r="IJ421" s="1"/>
      <c r="IK421" s="1"/>
      <c r="IL421" s="1"/>
      <c r="IM421" s="1"/>
      <c r="IN421" s="1"/>
      <c r="IO421" s="1"/>
      <c r="IP421" s="1"/>
      <c r="IQ421" s="1"/>
      <c r="IR421" s="1"/>
      <c r="IS421" s="1"/>
      <c r="IT421" s="1"/>
      <c r="IU421" s="1"/>
      <c r="IV421" s="1"/>
      <c r="IW421" s="1"/>
      <c r="IX421" s="1"/>
      <c r="IY421" s="1"/>
      <c r="IZ421" s="1"/>
      <c r="JA421" s="1"/>
      <c r="JB421" s="1"/>
      <c r="JC421" s="1"/>
      <c r="JD421" s="135"/>
    </row>
    <row r="422" spans="9:264">
      <c r="I422" s="35"/>
      <c r="J422" s="156" t="s">
        <v>1362</v>
      </c>
      <c r="K422" s="156" t="s">
        <v>1362</v>
      </c>
      <c r="L422" s="35">
        <v>18</v>
      </c>
      <c r="M422" s="35">
        <v>55</v>
      </c>
      <c r="N422" s="35">
        <v>3.3</v>
      </c>
      <c r="O422" s="35">
        <v>-30</v>
      </c>
      <c r="P422" s="35">
        <v>-28</v>
      </c>
      <c r="Q422" s="35">
        <v>-47</v>
      </c>
      <c r="R422" s="22" t="s">
        <v>1363</v>
      </c>
      <c r="S422" s="22" t="s">
        <v>1364</v>
      </c>
      <c r="AJ422" s="175"/>
      <c r="AK422" s="175"/>
      <c r="AL422" s="175"/>
      <c r="AM422" s="175"/>
      <c r="AN422" s="175"/>
      <c r="AO422" s="175"/>
      <c r="AP422" s="175"/>
      <c r="AS422" s="3"/>
      <c r="BD422" s="97"/>
      <c r="EL422" s="3"/>
      <c r="EM422" s="3"/>
      <c r="FK422" s="135"/>
      <c r="HK422" s="170"/>
      <c r="HL422" s="175"/>
      <c r="HM422" s="1" t="s">
        <v>3688</v>
      </c>
      <c r="HN422" s="170">
        <f>HN419+HN420+HN421</f>
        <v>0</v>
      </c>
      <c r="HO422" s="175"/>
      <c r="HP422" s="175"/>
      <c r="HQ422" s="175"/>
      <c r="HR422" s="175"/>
      <c r="HS422" s="175"/>
      <c r="HT422" s="175"/>
      <c r="HW422" s="175"/>
      <c r="HX422" s="175"/>
      <c r="HY422" s="175"/>
      <c r="HZ422" s="175"/>
      <c r="IA422" s="175"/>
      <c r="IB422" s="170"/>
      <c r="IG422" s="1"/>
      <c r="IH422" s="1"/>
      <c r="II422" s="1"/>
      <c r="IJ422" s="1"/>
      <c r="IK422" s="1"/>
      <c r="IL422" s="1"/>
      <c r="IM422" s="1"/>
      <c r="IN422" s="1"/>
      <c r="IO422" s="1"/>
      <c r="IP422" s="1"/>
      <c r="IQ422" s="1"/>
      <c r="IR422" s="1"/>
      <c r="IS422" s="1"/>
      <c r="IT422" s="1"/>
      <c r="IU422" s="1"/>
      <c r="IV422" s="1"/>
      <c r="IW422" s="1"/>
      <c r="IX422" s="1"/>
      <c r="IY422" s="1"/>
      <c r="IZ422" s="1"/>
      <c r="JA422" s="1"/>
      <c r="JB422" s="1"/>
      <c r="JC422" s="1"/>
      <c r="JD422" s="135"/>
    </row>
    <row r="423" spans="9:264">
      <c r="I423" s="35"/>
      <c r="J423" s="156" t="s">
        <v>1365</v>
      </c>
      <c r="K423" s="156" t="s">
        <v>1365</v>
      </c>
      <c r="L423" s="35">
        <v>19</v>
      </c>
      <c r="M423" s="35">
        <v>39</v>
      </c>
      <c r="N423" s="35">
        <v>59.7</v>
      </c>
      <c r="O423" s="35">
        <v>-30</v>
      </c>
      <c r="P423" s="35">
        <v>-57</v>
      </c>
      <c r="Q423" s="35">
        <v>-53</v>
      </c>
      <c r="R423" s="22" t="s">
        <v>1366</v>
      </c>
      <c r="S423" s="22" t="s">
        <v>1367</v>
      </c>
      <c r="AJ423" s="175"/>
      <c r="AK423" s="175"/>
      <c r="AL423" s="175"/>
      <c r="AM423" s="175"/>
      <c r="AN423" s="175"/>
      <c r="AO423" s="175"/>
      <c r="AP423" s="175"/>
      <c r="AS423" s="3"/>
      <c r="BD423" s="97"/>
      <c r="EL423" s="3"/>
      <c r="EM423" s="3"/>
      <c r="FK423" s="135"/>
      <c r="HK423" s="170"/>
      <c r="HL423" s="175"/>
      <c r="HN423" s="175"/>
      <c r="HO423" s="175"/>
      <c r="HP423" s="175"/>
      <c r="HQ423" s="175"/>
      <c r="HR423" s="175"/>
      <c r="HS423" s="175"/>
      <c r="HT423" s="175"/>
      <c r="HW423" s="175"/>
      <c r="HX423" s="175"/>
      <c r="HY423" s="175"/>
      <c r="HZ423" s="175"/>
      <c r="IA423" s="175"/>
      <c r="IB423" s="170"/>
      <c r="IG423" s="1"/>
      <c r="IH423" s="1"/>
      <c r="II423" s="1"/>
      <c r="IJ423" s="1"/>
      <c r="IK423" s="1"/>
      <c r="IL423" s="1"/>
      <c r="IM423" s="1"/>
      <c r="IN423" s="1"/>
      <c r="IO423" s="1"/>
      <c r="IP423" s="1"/>
      <c r="IQ423" s="1"/>
      <c r="IR423" s="1"/>
      <c r="IS423" s="1"/>
      <c r="IT423" s="1"/>
      <c r="IU423" s="1"/>
      <c r="IV423" s="1"/>
      <c r="IW423" s="1"/>
      <c r="IX423" s="1"/>
      <c r="IY423" s="1"/>
      <c r="IZ423" s="1"/>
      <c r="JA423" s="1"/>
      <c r="JB423" s="1"/>
      <c r="JC423" s="1"/>
      <c r="JD423" s="135"/>
    </row>
    <row r="424" spans="9:264">
      <c r="I424" s="35"/>
      <c r="J424" s="156" t="s">
        <v>1368</v>
      </c>
      <c r="K424" s="156" t="s">
        <v>1368</v>
      </c>
      <c r="L424" s="35">
        <v>19</v>
      </c>
      <c r="M424" s="35">
        <v>16</v>
      </c>
      <c r="N424" s="35">
        <v>35.6</v>
      </c>
      <c r="O424" s="35">
        <v>30</v>
      </c>
      <c r="P424" s="35">
        <v>11</v>
      </c>
      <c r="Q424" s="35">
        <v>0</v>
      </c>
      <c r="R424" s="22" t="s">
        <v>1369</v>
      </c>
      <c r="S424" s="22" t="s">
        <v>1370</v>
      </c>
      <c r="AJ424" s="175"/>
      <c r="AK424" s="175"/>
      <c r="AL424" s="175"/>
      <c r="AM424" s="175"/>
      <c r="AN424" s="175"/>
      <c r="AO424" s="175"/>
      <c r="AP424" s="175"/>
      <c r="AS424" s="3"/>
      <c r="BD424" s="97"/>
      <c r="EL424" s="3"/>
      <c r="EM424" s="3"/>
      <c r="FK424" s="135"/>
      <c r="HK424" s="170"/>
      <c r="HL424" s="175"/>
      <c r="HM424" s="423" t="s">
        <v>3958</v>
      </c>
      <c r="HN424" s="119">
        <f>HN422+HN416+HN411+HN404+HN398+HN390+HN385+HN379+HN374+HN369+HN362+HN357+HN350+HN343+HN337+HN330+HN324+HN316+HN310+HN304+HN298+HN292+HN286+HN280</f>
        <v>0</v>
      </c>
      <c r="HO424" s="175"/>
      <c r="HP424" s="175"/>
      <c r="HQ424" s="175"/>
      <c r="HR424" s="175"/>
      <c r="HS424" s="175"/>
      <c r="HT424" s="175"/>
      <c r="HW424" s="175"/>
      <c r="HX424" s="175"/>
      <c r="HY424" s="175"/>
      <c r="HZ424" s="175"/>
      <c r="IA424" s="175"/>
      <c r="IB424" s="170"/>
      <c r="IG424" s="1"/>
      <c r="IH424" s="1"/>
      <c r="II424" s="1"/>
      <c r="IJ424" s="1"/>
      <c r="IK424" s="1"/>
      <c r="IL424" s="1"/>
      <c r="IM424" s="1"/>
      <c r="IN424" s="1"/>
      <c r="IO424" s="1"/>
      <c r="IP424" s="1"/>
      <c r="IQ424" s="1"/>
      <c r="IR424" s="1"/>
      <c r="IS424" s="1"/>
      <c r="IT424" s="1"/>
      <c r="IU424" s="1"/>
      <c r="IV424" s="1"/>
      <c r="IW424" s="1"/>
      <c r="IX424" s="1"/>
      <c r="IY424" s="1"/>
      <c r="IZ424" s="1"/>
      <c r="JA424" s="1"/>
      <c r="JB424" s="1"/>
      <c r="JC424" s="1"/>
      <c r="JD424" s="135"/>
    </row>
    <row r="425" spans="9:264">
      <c r="I425" s="35"/>
      <c r="J425" s="156" t="s">
        <v>1371</v>
      </c>
      <c r="K425" s="156" t="s">
        <v>1371</v>
      </c>
      <c r="L425" s="35">
        <v>18</v>
      </c>
      <c r="M425" s="35">
        <v>53</v>
      </c>
      <c r="N425" s="35">
        <v>35.1</v>
      </c>
      <c r="O425" s="35">
        <v>33</v>
      </c>
      <c r="P425" s="35">
        <v>1</v>
      </c>
      <c r="Q425" s="35">
        <v>45</v>
      </c>
      <c r="R425" s="22" t="s">
        <v>3198</v>
      </c>
      <c r="S425" s="22" t="s">
        <v>3199</v>
      </c>
      <c r="AJ425" s="175"/>
      <c r="AK425" s="175"/>
      <c r="AL425" s="175"/>
      <c r="AM425" s="175"/>
      <c r="AN425" s="175"/>
      <c r="AO425" s="175"/>
      <c r="AP425" s="175"/>
      <c r="AS425" s="3"/>
      <c r="BD425" s="97"/>
      <c r="EL425" s="3"/>
      <c r="EM425" s="3"/>
      <c r="FK425" s="135"/>
      <c r="HK425" s="170"/>
      <c r="HL425" s="175"/>
      <c r="HO425" s="175"/>
      <c r="HP425" s="175"/>
      <c r="HQ425" s="175"/>
      <c r="HR425" s="175"/>
      <c r="HS425" s="175"/>
      <c r="HT425" s="175"/>
      <c r="HW425" s="175"/>
      <c r="HX425" s="175"/>
      <c r="HY425" s="175"/>
      <c r="HZ425" s="175"/>
      <c r="IA425" s="175"/>
      <c r="IB425" s="170"/>
      <c r="IG425" s="1"/>
      <c r="IH425" s="1"/>
      <c r="II425" s="1"/>
      <c r="IJ425" s="1"/>
      <c r="IK425" s="1"/>
      <c r="IL425" s="1"/>
      <c r="IM425" s="1"/>
      <c r="IN425" s="1"/>
      <c r="IO425" s="1"/>
      <c r="IP425" s="1"/>
      <c r="IQ425" s="1"/>
      <c r="IR425" s="1"/>
      <c r="IS425" s="1"/>
      <c r="IT425" s="1"/>
      <c r="IU425" s="1"/>
      <c r="IV425" s="1"/>
      <c r="IW425" s="1"/>
      <c r="IX425" s="1"/>
      <c r="IY425" s="1"/>
      <c r="IZ425" s="1"/>
      <c r="JA425" s="1"/>
      <c r="JB425" s="1"/>
      <c r="JC425" s="1"/>
      <c r="JD425" s="135"/>
    </row>
    <row r="426" spans="9:264">
      <c r="I426" s="35"/>
      <c r="J426" s="156" t="s">
        <v>1372</v>
      </c>
      <c r="K426" s="156" t="s">
        <v>1372</v>
      </c>
      <c r="L426" s="35">
        <v>12</v>
      </c>
      <c r="M426" s="35">
        <v>37</v>
      </c>
      <c r="N426" s="35">
        <v>43.6</v>
      </c>
      <c r="O426" s="35">
        <v>11</v>
      </c>
      <c r="P426" s="35">
        <v>49</v>
      </c>
      <c r="Q426" s="35">
        <v>5</v>
      </c>
      <c r="R426" s="22" t="s">
        <v>1373</v>
      </c>
      <c r="S426" s="22" t="s">
        <v>1374</v>
      </c>
      <c r="AJ426" s="175"/>
      <c r="AK426" s="175"/>
      <c r="AL426" s="175"/>
      <c r="AM426" s="175"/>
      <c r="AN426" s="175"/>
      <c r="AO426" s="175"/>
      <c r="AP426" s="175"/>
      <c r="AS426" s="3"/>
      <c r="BD426" s="97"/>
      <c r="EL426" s="3"/>
      <c r="EM426" s="3"/>
      <c r="FK426" s="135"/>
      <c r="HK426" s="170"/>
      <c r="HL426" s="175"/>
      <c r="HM426" s="562">
        <v>25</v>
      </c>
      <c r="HN426" s="175"/>
      <c r="HO426" s="175"/>
      <c r="HP426" s="175"/>
      <c r="HQ426" s="175"/>
      <c r="HR426" s="175"/>
      <c r="HS426" s="175"/>
      <c r="HT426" s="175"/>
      <c r="HW426" s="175"/>
      <c r="HX426" s="175"/>
      <c r="HY426" s="175"/>
      <c r="HZ426" s="175"/>
      <c r="IA426" s="175"/>
      <c r="IB426" s="170"/>
      <c r="IG426" s="1"/>
      <c r="IH426" s="1"/>
      <c r="II426" s="1"/>
      <c r="IJ426" s="1"/>
      <c r="IK426" s="1"/>
      <c r="IL426" s="1"/>
      <c r="IM426" s="1"/>
      <c r="IN426" s="1"/>
      <c r="IO426" s="1"/>
      <c r="IP426" s="1"/>
      <c r="IQ426" s="1"/>
      <c r="IR426" s="1"/>
      <c r="IS426" s="1"/>
      <c r="IT426" s="1"/>
      <c r="IU426" s="1"/>
      <c r="IV426" s="1"/>
      <c r="IW426" s="1"/>
      <c r="IX426" s="1"/>
      <c r="IY426" s="1"/>
      <c r="IZ426" s="1"/>
      <c r="JA426" s="1"/>
      <c r="JB426" s="1"/>
      <c r="JC426" s="1"/>
      <c r="JD426" s="135"/>
    </row>
    <row r="427" spans="9:264">
      <c r="I427" s="35"/>
      <c r="J427" s="156" t="s">
        <v>1375</v>
      </c>
      <c r="K427" s="156" t="s">
        <v>1375</v>
      </c>
      <c r="L427" s="35">
        <v>12</v>
      </c>
      <c r="M427" s="35">
        <v>42</v>
      </c>
      <c r="N427" s="35">
        <v>2.2999999999999998</v>
      </c>
      <c r="O427" s="35">
        <v>11</v>
      </c>
      <c r="P427" s="35">
        <v>38</v>
      </c>
      <c r="Q427" s="35">
        <v>49</v>
      </c>
      <c r="R427" s="22" t="s">
        <v>1376</v>
      </c>
      <c r="S427" s="22" t="s">
        <v>1377</v>
      </c>
      <c r="AJ427" s="175"/>
      <c r="AK427" s="175"/>
      <c r="AL427" s="175"/>
      <c r="AM427" s="175"/>
      <c r="AN427" s="175"/>
      <c r="AO427" s="175"/>
      <c r="AP427" s="175"/>
      <c r="AS427" s="3"/>
      <c r="BD427" s="97"/>
      <c r="EL427" s="3"/>
      <c r="EM427" s="3"/>
      <c r="FK427" s="135"/>
      <c r="HK427" s="170"/>
      <c r="HL427" s="175"/>
      <c r="HM427" s="1" t="s">
        <v>3959</v>
      </c>
      <c r="HN427" s="175"/>
      <c r="HO427" s="175"/>
      <c r="HP427" s="175"/>
      <c r="HQ427" s="175"/>
      <c r="HR427" s="175"/>
      <c r="HS427" s="175"/>
      <c r="HT427" s="175"/>
      <c r="HU427" s="175"/>
      <c r="HV427" s="175"/>
      <c r="HW427" s="175"/>
      <c r="HX427" s="175"/>
      <c r="HY427" s="175"/>
      <c r="HZ427" s="175"/>
      <c r="IA427" s="175"/>
      <c r="IB427" s="170"/>
      <c r="IG427" s="1"/>
      <c r="IH427" s="1"/>
      <c r="II427" s="1"/>
      <c r="IJ427" s="1"/>
      <c r="IK427" s="1"/>
      <c r="IL427" s="1"/>
      <c r="IM427" s="1"/>
      <c r="IN427" s="1"/>
      <c r="IO427" s="1"/>
      <c r="IP427" s="1"/>
      <c r="IQ427" s="1"/>
      <c r="IR427" s="1"/>
      <c r="IS427" s="1"/>
      <c r="IT427" s="1"/>
      <c r="IU427" s="1"/>
      <c r="IV427" s="1"/>
      <c r="IW427" s="1"/>
      <c r="IX427" s="1"/>
      <c r="IY427" s="1"/>
      <c r="IZ427" s="1"/>
      <c r="JA427" s="1"/>
      <c r="JB427" s="1"/>
      <c r="JC427" s="1"/>
      <c r="JD427" s="135"/>
    </row>
    <row r="428" spans="9:264">
      <c r="I428" s="35"/>
      <c r="J428" s="156" t="s">
        <v>1378</v>
      </c>
      <c r="K428" s="156" t="s">
        <v>1378</v>
      </c>
      <c r="L428" s="35">
        <v>12</v>
      </c>
      <c r="M428" s="35">
        <v>43</v>
      </c>
      <c r="N428" s="35">
        <v>40</v>
      </c>
      <c r="O428" s="35">
        <v>11</v>
      </c>
      <c r="P428" s="35">
        <v>33</v>
      </c>
      <c r="Q428" s="35">
        <v>9</v>
      </c>
      <c r="R428" s="22" t="s">
        <v>1379</v>
      </c>
      <c r="S428" s="22" t="s">
        <v>1380</v>
      </c>
      <c r="AJ428" s="175"/>
      <c r="AK428" s="175"/>
      <c r="AL428" s="175"/>
      <c r="AM428" s="175"/>
      <c r="AN428" s="175"/>
      <c r="AO428" s="175"/>
      <c r="AP428" s="175"/>
      <c r="AS428" s="3"/>
      <c r="BD428" s="97"/>
      <c r="EL428" s="3"/>
      <c r="EM428" s="3"/>
      <c r="FK428" s="135"/>
      <c r="HK428" s="170"/>
      <c r="HL428" s="175"/>
      <c r="HM428" s="563" t="s">
        <v>3960</v>
      </c>
      <c r="HN428" s="564">
        <f>IF(HN270="M",25,0)</f>
        <v>0</v>
      </c>
      <c r="HO428" s="175"/>
      <c r="HP428" s="175"/>
      <c r="HQ428" s="175"/>
      <c r="HR428" s="175"/>
      <c r="HS428" s="175"/>
      <c r="HT428" s="175"/>
      <c r="HU428" s="175"/>
      <c r="HV428" s="175"/>
      <c r="HW428" s="175"/>
      <c r="HX428" s="175"/>
      <c r="HY428" s="175"/>
      <c r="HZ428" s="175"/>
      <c r="IA428" s="175"/>
      <c r="IB428" s="170"/>
      <c r="IG428" s="1"/>
      <c r="IH428" s="1"/>
      <c r="II428" s="1"/>
      <c r="IJ428" s="1"/>
      <c r="IK428" s="1"/>
      <c r="IL428" s="1"/>
      <c r="IM428" s="1"/>
      <c r="IN428" s="1"/>
      <c r="IO428" s="1"/>
      <c r="IP428" s="1"/>
      <c r="IQ428" s="1"/>
      <c r="IR428" s="1"/>
      <c r="IS428" s="1"/>
      <c r="IT428" s="1"/>
      <c r="IU428" s="1"/>
      <c r="IV428" s="1"/>
      <c r="IW428" s="1"/>
      <c r="IX428" s="1"/>
      <c r="IY428" s="1"/>
      <c r="IZ428" s="1"/>
      <c r="JA428" s="1"/>
      <c r="JB428" s="1"/>
      <c r="JC428" s="1"/>
      <c r="JD428" s="135"/>
    </row>
    <row r="429" spans="9:264">
      <c r="I429" s="35"/>
      <c r="J429" s="156" t="s">
        <v>1381</v>
      </c>
      <c r="K429" s="156" t="s">
        <v>1381</v>
      </c>
      <c r="L429" s="35">
        <v>12</v>
      </c>
      <c r="M429" s="35">
        <v>21</v>
      </c>
      <c r="N429" s="35">
        <v>55</v>
      </c>
      <c r="O429" s="35">
        <v>4</v>
      </c>
      <c r="P429" s="35">
        <v>28</v>
      </c>
      <c r="Q429" s="35">
        <v>25</v>
      </c>
      <c r="R429" s="22" t="s">
        <v>1382</v>
      </c>
      <c r="S429" s="22" t="s">
        <v>1383</v>
      </c>
      <c r="AJ429" s="175"/>
      <c r="AK429" s="175"/>
      <c r="AL429" s="175"/>
      <c r="AM429" s="175"/>
      <c r="AN429" s="175"/>
      <c r="AO429" s="175"/>
      <c r="AP429" s="175"/>
      <c r="AS429" s="3"/>
      <c r="BD429" s="97"/>
      <c r="EL429" s="3"/>
      <c r="EM429" s="3"/>
      <c r="FK429" s="135"/>
      <c r="HK429" s="170"/>
      <c r="HL429" s="175"/>
      <c r="HM429" s="562">
        <v>26</v>
      </c>
      <c r="HN429" s="175"/>
      <c r="HO429" s="175"/>
      <c r="HP429" s="175"/>
      <c r="HQ429" s="175"/>
      <c r="HR429" s="175"/>
      <c r="HS429" s="175"/>
      <c r="HT429" s="175"/>
      <c r="HU429" s="175"/>
      <c r="HV429" s="175"/>
      <c r="HW429" s="175"/>
      <c r="HX429" s="175"/>
      <c r="HY429" s="175"/>
      <c r="HZ429" s="175"/>
      <c r="IA429" s="175"/>
      <c r="IB429" s="170"/>
      <c r="IG429" s="1"/>
      <c r="IH429" s="1"/>
      <c r="II429" s="1"/>
      <c r="IJ429" s="1"/>
      <c r="IK429" s="1"/>
      <c r="IL429" s="1"/>
      <c r="IM429" s="1"/>
      <c r="IN429" s="1"/>
      <c r="IO429" s="1"/>
      <c r="IP429" s="1"/>
      <c r="IQ429" s="1"/>
      <c r="IR429" s="1"/>
      <c r="IS429" s="1"/>
      <c r="IT429" s="1"/>
      <c r="IU429" s="1"/>
      <c r="IV429" s="1"/>
      <c r="IW429" s="1"/>
      <c r="IX429" s="1"/>
      <c r="IY429" s="1"/>
      <c r="IZ429" s="1"/>
      <c r="JA429" s="1"/>
      <c r="JB429" s="1"/>
      <c r="JC429" s="1"/>
      <c r="JD429" s="135"/>
    </row>
    <row r="430" spans="9:264">
      <c r="I430" s="35"/>
      <c r="J430" s="156" t="s">
        <v>1384</v>
      </c>
      <c r="K430" s="156" t="s">
        <v>1384</v>
      </c>
      <c r="L430" s="35">
        <v>17</v>
      </c>
      <c r="M430" s="35">
        <v>1</v>
      </c>
      <c r="N430" s="35">
        <v>12.6</v>
      </c>
      <c r="O430" s="35">
        <v>-30</v>
      </c>
      <c r="P430" s="35">
        <v>-6</v>
      </c>
      <c r="Q430" s="35">
        <v>-44</v>
      </c>
      <c r="R430" s="22" t="s">
        <v>1385</v>
      </c>
      <c r="S430" s="22" t="s">
        <v>1386</v>
      </c>
      <c r="AJ430" s="175"/>
      <c r="AK430" s="175"/>
      <c r="AL430" s="175"/>
      <c r="AM430" s="175"/>
      <c r="AN430" s="175"/>
      <c r="AO430" s="175"/>
      <c r="AP430" s="175"/>
      <c r="AS430" s="3"/>
      <c r="BD430" s="97"/>
      <c r="EL430" s="3"/>
      <c r="EM430" s="3"/>
      <c r="FK430" s="135"/>
      <c r="HK430" s="170"/>
      <c r="HL430" s="175"/>
      <c r="HM430" s="1" t="s">
        <v>3961</v>
      </c>
      <c r="HN430" s="175"/>
      <c r="HO430" s="175"/>
      <c r="HP430" s="175"/>
      <c r="HQ430" s="175"/>
      <c r="HR430" s="175"/>
      <c r="HS430" s="175"/>
      <c r="HT430" s="175"/>
      <c r="HU430" s="175"/>
      <c r="HV430" s="175"/>
      <c r="HW430" s="175"/>
      <c r="HX430" s="175"/>
      <c r="HY430" s="175"/>
      <c r="HZ430" s="175"/>
      <c r="IA430" s="175"/>
      <c r="IB430" s="170"/>
      <c r="IG430" s="1"/>
      <c r="IH430" s="1"/>
      <c r="II430" s="1"/>
      <c r="IJ430" s="1"/>
      <c r="IK430" s="1"/>
      <c r="IL430" s="1"/>
      <c r="IM430" s="1"/>
      <c r="IN430" s="1"/>
      <c r="IO430" s="1"/>
      <c r="IP430" s="1"/>
      <c r="IQ430" s="1"/>
      <c r="IR430" s="1"/>
      <c r="IS430" s="1"/>
      <c r="IT430" s="1"/>
      <c r="IU430" s="1"/>
      <c r="IV430" s="1"/>
      <c r="IW430" s="1"/>
      <c r="IX430" s="1"/>
      <c r="IY430" s="1"/>
      <c r="IZ430" s="1"/>
      <c r="JA430" s="1"/>
      <c r="JB430" s="1"/>
      <c r="JC430" s="1"/>
      <c r="JD430" s="135"/>
    </row>
    <row r="431" spans="9:264">
      <c r="I431" s="35"/>
      <c r="J431" s="156" t="s">
        <v>1387</v>
      </c>
      <c r="K431" s="156" t="s">
        <v>1387</v>
      </c>
      <c r="L431" s="35">
        <v>13</v>
      </c>
      <c r="M431" s="35">
        <v>15</v>
      </c>
      <c r="N431" s="35">
        <v>49.3</v>
      </c>
      <c r="O431" s="35">
        <v>42</v>
      </c>
      <c r="P431" s="35">
        <v>1</v>
      </c>
      <c r="Q431" s="35">
        <v>45</v>
      </c>
      <c r="R431" s="22" t="s">
        <v>1388</v>
      </c>
      <c r="S431" s="22" t="s">
        <v>1389</v>
      </c>
      <c r="AJ431" s="175"/>
      <c r="AK431" s="175"/>
      <c r="AL431" s="175"/>
      <c r="AM431" s="175"/>
      <c r="AN431" s="175"/>
      <c r="AO431" s="175"/>
      <c r="AP431" s="175"/>
      <c r="AS431" s="3"/>
      <c r="BD431" s="97"/>
      <c r="EL431" s="3"/>
      <c r="EM431" s="3"/>
      <c r="FK431" s="135"/>
      <c r="HK431" s="170"/>
      <c r="HL431" s="175"/>
      <c r="HM431" s="175" t="s">
        <v>3963</v>
      </c>
      <c r="HN431" s="175">
        <f>IF(HN270=HM431,26,0)</f>
        <v>0</v>
      </c>
      <c r="HO431" s="175"/>
      <c r="HP431" s="175"/>
      <c r="HQ431" s="175"/>
      <c r="HR431" s="175"/>
      <c r="HS431" s="175"/>
      <c r="HT431" s="175"/>
      <c r="HU431" s="175"/>
      <c r="HV431" s="175"/>
      <c r="HW431" s="175"/>
      <c r="HX431" s="175"/>
      <c r="HY431" s="175"/>
      <c r="HZ431" s="175"/>
      <c r="IA431" s="175"/>
      <c r="IB431" s="170"/>
      <c r="IG431" s="1"/>
      <c r="IH431" s="1"/>
      <c r="II431" s="1"/>
      <c r="IJ431" s="1"/>
      <c r="IK431" s="1"/>
      <c r="IL431" s="1"/>
      <c r="IM431" s="1"/>
      <c r="IN431" s="1"/>
      <c r="IO431" s="1"/>
      <c r="IP431" s="1"/>
      <c r="IQ431" s="1"/>
      <c r="IR431" s="1"/>
      <c r="IS431" s="1"/>
      <c r="IT431" s="1"/>
      <c r="IU431" s="1"/>
      <c r="IV431" s="1"/>
      <c r="IW431" s="1"/>
      <c r="IX431" s="1"/>
      <c r="IY431" s="1"/>
      <c r="IZ431" s="1"/>
      <c r="JA431" s="1"/>
      <c r="JB431" s="1"/>
      <c r="JC431" s="1"/>
      <c r="JD431" s="135"/>
    </row>
    <row r="432" spans="9:264">
      <c r="I432" s="35"/>
      <c r="J432" s="156" t="s">
        <v>1390</v>
      </c>
      <c r="K432" s="156" t="s">
        <v>1390</v>
      </c>
      <c r="L432" s="35">
        <v>12</v>
      </c>
      <c r="M432" s="35">
        <v>56</v>
      </c>
      <c r="N432" s="35">
        <v>43.7</v>
      </c>
      <c r="O432" s="35">
        <v>21</v>
      </c>
      <c r="P432" s="35">
        <v>40</v>
      </c>
      <c r="Q432" s="35">
        <v>58</v>
      </c>
      <c r="R432" s="22" t="s">
        <v>1391</v>
      </c>
      <c r="S432" s="22" t="s">
        <v>1392</v>
      </c>
      <c r="AJ432" s="175"/>
      <c r="AK432" s="175"/>
      <c r="AL432" s="175"/>
      <c r="AM432" s="175"/>
      <c r="AN432" s="175"/>
      <c r="AO432" s="175"/>
      <c r="AP432" s="175"/>
      <c r="AS432" s="3"/>
      <c r="BD432" s="97"/>
      <c r="EL432" s="3"/>
      <c r="EM432" s="3"/>
      <c r="FK432" s="135"/>
      <c r="HK432" s="170"/>
      <c r="HL432" s="175"/>
      <c r="HM432" s="175" t="s">
        <v>3965</v>
      </c>
      <c r="HN432" s="175">
        <f>IF(HN270=HM432,26,0)</f>
        <v>0</v>
      </c>
      <c r="HO432" s="175"/>
      <c r="HP432" s="175"/>
      <c r="HQ432" s="175"/>
      <c r="HR432" s="175"/>
      <c r="HS432" s="175"/>
      <c r="HT432" s="175"/>
      <c r="HU432" s="175"/>
      <c r="HV432" s="175"/>
      <c r="HW432" s="175"/>
      <c r="HX432" s="175"/>
      <c r="HY432" s="175"/>
      <c r="HZ432" s="175"/>
      <c r="IA432" s="175"/>
      <c r="IB432" s="170"/>
      <c r="IG432" s="1"/>
      <c r="IH432" s="1"/>
      <c r="II432" s="1"/>
      <c r="IJ432" s="1"/>
      <c r="IK432" s="1"/>
      <c r="IL432" s="1"/>
      <c r="IM432" s="1"/>
      <c r="IN432" s="1"/>
      <c r="IO432" s="1"/>
      <c r="IP432" s="1"/>
      <c r="IQ432" s="1"/>
      <c r="IR432" s="1"/>
      <c r="IS432" s="1"/>
      <c r="IT432" s="1"/>
      <c r="IU432" s="1"/>
      <c r="IV432" s="1"/>
      <c r="IW432" s="1"/>
      <c r="IX432" s="1"/>
      <c r="IY432" s="1"/>
      <c r="IZ432" s="1"/>
      <c r="JA432" s="1"/>
      <c r="JB432" s="1"/>
      <c r="JC432" s="1"/>
      <c r="JD432" s="135"/>
    </row>
    <row r="433" spans="9:264">
      <c r="I433" s="35"/>
      <c r="J433" s="156" t="s">
        <v>1393</v>
      </c>
      <c r="K433" s="156" t="s">
        <v>1393</v>
      </c>
      <c r="L433" s="35">
        <v>11</v>
      </c>
      <c r="M433" s="35">
        <v>18</v>
      </c>
      <c r="N433" s="35">
        <v>56</v>
      </c>
      <c r="O433" s="35">
        <v>13</v>
      </c>
      <c r="P433" s="35">
        <v>5</v>
      </c>
      <c r="Q433" s="35">
        <v>32</v>
      </c>
      <c r="R433" s="22" t="s">
        <v>1394</v>
      </c>
      <c r="S433" s="22" t="s">
        <v>1395</v>
      </c>
      <c r="AJ433" s="175"/>
      <c r="AK433" s="175"/>
      <c r="AL433" s="175"/>
      <c r="AM433" s="175"/>
      <c r="AN433" s="175"/>
      <c r="AO433" s="175"/>
      <c r="AP433" s="175"/>
      <c r="AS433" s="3"/>
      <c r="BD433" s="97"/>
      <c r="EL433" s="3"/>
      <c r="EM433" s="3"/>
      <c r="FK433" s="135"/>
      <c r="HK433" s="170"/>
      <c r="HL433" s="175"/>
      <c r="HM433" s="1" t="s">
        <v>3688</v>
      </c>
      <c r="HN433" s="564">
        <f>HN431+HN432</f>
        <v>0</v>
      </c>
      <c r="HO433" s="175"/>
      <c r="HP433" s="175"/>
      <c r="HQ433" s="175"/>
      <c r="HR433" s="175"/>
      <c r="HS433" s="175"/>
      <c r="HT433" s="175"/>
      <c r="HU433" s="175"/>
      <c r="HV433" s="175"/>
      <c r="HW433" s="175"/>
      <c r="HX433" s="175"/>
      <c r="HY433" s="175"/>
      <c r="HZ433" s="175"/>
      <c r="IA433" s="175"/>
      <c r="IB433" s="170"/>
      <c r="IG433" s="1"/>
      <c r="IH433" s="1"/>
      <c r="II433" s="1"/>
      <c r="IJ433" s="1"/>
      <c r="IK433" s="1"/>
      <c r="IL433" s="1"/>
      <c r="IM433" s="1"/>
      <c r="IN433" s="1"/>
      <c r="IO433" s="1"/>
      <c r="IP433" s="1"/>
      <c r="IQ433" s="1"/>
      <c r="IR433" s="1"/>
      <c r="IS433" s="1"/>
      <c r="IT433" s="1"/>
      <c r="IU433" s="1"/>
      <c r="IV433" s="1"/>
      <c r="IW433" s="1"/>
      <c r="IX433" s="1"/>
      <c r="IY433" s="1"/>
      <c r="IZ433" s="1"/>
      <c r="JA433" s="1"/>
      <c r="JB433" s="1"/>
      <c r="JC433" s="1"/>
      <c r="JD433" s="135"/>
    </row>
    <row r="434" spans="9:264">
      <c r="I434" s="35"/>
      <c r="J434" s="156" t="s">
        <v>1396</v>
      </c>
      <c r="K434" s="156" t="s">
        <v>1396</v>
      </c>
      <c r="L434" s="35">
        <v>11</v>
      </c>
      <c r="M434" s="35">
        <v>20</v>
      </c>
      <c r="N434" s="35">
        <v>15</v>
      </c>
      <c r="O434" s="35">
        <v>12</v>
      </c>
      <c r="P434" s="35">
        <v>59</v>
      </c>
      <c r="Q434" s="35">
        <v>29</v>
      </c>
      <c r="R434" s="22" t="s">
        <v>1397</v>
      </c>
      <c r="S434" s="22" t="s">
        <v>1398</v>
      </c>
      <c r="AJ434" s="175"/>
      <c r="AK434" s="175"/>
      <c r="AL434" s="175"/>
      <c r="AM434" s="175"/>
      <c r="AN434" s="175"/>
      <c r="AO434" s="175"/>
      <c r="AP434" s="175"/>
      <c r="AS434" s="3"/>
      <c r="BD434" s="97"/>
      <c r="EL434" s="3"/>
      <c r="EM434" s="3"/>
      <c r="FK434" s="135"/>
      <c r="HK434" s="170"/>
      <c r="HL434" s="175"/>
      <c r="HM434" s="562">
        <v>27</v>
      </c>
      <c r="HN434" s="175"/>
      <c r="HO434" s="175"/>
      <c r="HP434" s="175"/>
      <c r="HQ434" s="175"/>
      <c r="HR434" s="175"/>
      <c r="HS434" s="175"/>
      <c r="HT434" s="175"/>
      <c r="HU434" s="175"/>
      <c r="HV434" s="175"/>
      <c r="HW434" s="175"/>
      <c r="HX434" s="175"/>
      <c r="HY434" s="175"/>
      <c r="HZ434" s="175"/>
      <c r="IA434" s="175"/>
      <c r="IB434" s="170"/>
      <c r="IG434" s="1"/>
      <c r="IH434" s="1"/>
      <c r="II434" s="1"/>
      <c r="IJ434" s="1"/>
      <c r="IK434" s="1"/>
      <c r="IL434" s="1"/>
      <c r="IM434" s="1"/>
      <c r="IN434" s="1"/>
      <c r="IO434" s="1"/>
      <c r="IP434" s="1"/>
      <c r="IQ434" s="1"/>
      <c r="IR434" s="1"/>
      <c r="IS434" s="1"/>
      <c r="IT434" s="1"/>
      <c r="IU434" s="1"/>
      <c r="IV434" s="1"/>
      <c r="IW434" s="1"/>
      <c r="IX434" s="1"/>
      <c r="IY434" s="1"/>
      <c r="IZ434" s="1"/>
      <c r="JA434" s="1"/>
      <c r="JB434" s="1"/>
      <c r="JC434" s="1"/>
      <c r="JD434" s="135"/>
    </row>
    <row r="435" spans="9:264">
      <c r="I435" s="35"/>
      <c r="J435" s="156" t="s">
        <v>1399</v>
      </c>
      <c r="K435" s="156" t="s">
        <v>1399</v>
      </c>
      <c r="L435" s="35">
        <v>8</v>
      </c>
      <c r="M435" s="35">
        <v>51</v>
      </c>
      <c r="N435" s="35">
        <v>18</v>
      </c>
      <c r="O435" s="35">
        <v>11</v>
      </c>
      <c r="P435" s="35">
        <v>48</v>
      </c>
      <c r="Q435" s="35">
        <v>0</v>
      </c>
      <c r="R435" s="22" t="s">
        <v>1400</v>
      </c>
      <c r="S435" s="22" t="s">
        <v>1401</v>
      </c>
      <c r="V435" s="5"/>
      <c r="W435" s="5"/>
      <c r="X435" s="283" t="s">
        <v>3101</v>
      </c>
      <c r="Y435" s="5"/>
      <c r="Z435" s="342"/>
      <c r="AA435" s="5"/>
      <c r="AB435" s="5"/>
      <c r="AC435" s="5"/>
      <c r="AD435" s="5"/>
      <c r="AE435" s="5"/>
      <c r="AF435" s="5"/>
      <c r="AG435" s="5"/>
      <c r="AJ435" s="175"/>
      <c r="AK435" s="175"/>
      <c r="AL435" s="175"/>
      <c r="AM435" s="175"/>
      <c r="AN435" s="175"/>
      <c r="AO435" s="175"/>
      <c r="AP435" s="175"/>
      <c r="AS435" s="3"/>
      <c r="BD435" s="97"/>
      <c r="EL435" s="3"/>
      <c r="EM435" s="3"/>
      <c r="FK435" s="135"/>
      <c r="HK435" s="170"/>
      <c r="HL435" s="175"/>
      <c r="HM435" s="1" t="s">
        <v>3967</v>
      </c>
      <c r="HN435" s="175"/>
      <c r="HO435" s="175"/>
      <c r="HP435" s="175"/>
      <c r="HQ435" s="175"/>
      <c r="HR435" s="175"/>
      <c r="HS435" s="175"/>
      <c r="HT435" s="175"/>
      <c r="HU435" s="175"/>
      <c r="HV435" s="175"/>
      <c r="HW435" s="175"/>
      <c r="HX435" s="175"/>
      <c r="HY435" s="175"/>
      <c r="HZ435" s="175"/>
      <c r="IA435" s="175"/>
      <c r="IB435" s="170"/>
      <c r="IG435" s="1"/>
      <c r="IH435" s="1"/>
      <c r="II435" s="1"/>
      <c r="IJ435" s="1"/>
      <c r="IK435" s="1"/>
      <c r="IL435" s="1"/>
      <c r="IM435" s="1"/>
      <c r="IN435" s="1"/>
      <c r="IO435" s="1"/>
      <c r="IP435" s="1"/>
      <c r="IQ435" s="1"/>
      <c r="IR435" s="1"/>
      <c r="IS435" s="1"/>
      <c r="IT435" s="1"/>
      <c r="IU435" s="1"/>
      <c r="IV435" s="1"/>
      <c r="IW435" s="1"/>
      <c r="IX435" s="1"/>
      <c r="IY435" s="1"/>
      <c r="IZ435" s="1"/>
      <c r="JA435" s="1"/>
      <c r="JB435" s="1"/>
      <c r="JC435" s="1"/>
      <c r="JD435" s="135"/>
    </row>
    <row r="436" spans="9:264">
      <c r="I436" s="35"/>
      <c r="J436" s="156" t="s">
        <v>1402</v>
      </c>
      <c r="K436" s="156" t="s">
        <v>1402</v>
      </c>
      <c r="L436" s="35">
        <v>12</v>
      </c>
      <c r="M436" s="35">
        <v>39</v>
      </c>
      <c r="N436" s="35">
        <v>28</v>
      </c>
      <c r="O436" s="35">
        <v>-26</v>
      </c>
      <c r="P436" s="35">
        <v>-44</v>
      </c>
      <c r="Q436" s="35">
        <v>-39</v>
      </c>
      <c r="R436" s="22" t="s">
        <v>1403</v>
      </c>
      <c r="S436" s="22" t="s">
        <v>1404</v>
      </c>
      <c r="AI436" s="5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BD436" s="97"/>
      <c r="EL436" s="3"/>
      <c r="EM436" s="3"/>
      <c r="FK436" s="135"/>
      <c r="HK436" s="170"/>
      <c r="HL436" s="175"/>
      <c r="HM436" s="175" t="s">
        <v>3969</v>
      </c>
      <c r="HN436" s="175">
        <f>IF(HN270=HM436,27,0)</f>
        <v>0</v>
      </c>
      <c r="HO436" s="175"/>
      <c r="HP436" s="175"/>
      <c r="HQ436" s="175"/>
      <c r="HR436" s="175"/>
      <c r="HS436" s="175"/>
      <c r="HT436" s="175"/>
      <c r="HU436" s="175"/>
      <c r="HV436" s="175"/>
      <c r="HW436" s="175"/>
      <c r="HX436" s="175"/>
      <c r="HY436" s="175"/>
      <c r="HZ436" s="175"/>
      <c r="IA436" s="175"/>
      <c r="IB436" s="170"/>
      <c r="IG436" s="1"/>
      <c r="IH436" s="1"/>
      <c r="II436" s="1"/>
      <c r="IJ436" s="1"/>
      <c r="IK436" s="1"/>
      <c r="IL436" s="1"/>
      <c r="IM436" s="1"/>
      <c r="IN436" s="1"/>
      <c r="IO436" s="1"/>
      <c r="IP436" s="1"/>
      <c r="IQ436" s="1"/>
      <c r="IR436" s="1"/>
      <c r="IS436" s="1"/>
      <c r="IT436" s="1"/>
      <c r="IU436" s="1"/>
      <c r="IV436" s="1"/>
      <c r="IW436" s="1"/>
      <c r="IX436" s="1"/>
      <c r="IY436" s="1"/>
      <c r="IZ436" s="1"/>
      <c r="JA436" s="1"/>
      <c r="JB436" s="1"/>
      <c r="JC436" s="1"/>
      <c r="JD436" s="135"/>
    </row>
    <row r="437" spans="9:264">
      <c r="I437" s="35"/>
      <c r="J437" s="156" t="s">
        <v>1405</v>
      </c>
      <c r="K437" s="156" t="s">
        <v>1405</v>
      </c>
      <c r="L437" s="35">
        <v>18</v>
      </c>
      <c r="M437" s="35">
        <v>31</v>
      </c>
      <c r="N437" s="35">
        <v>23.1</v>
      </c>
      <c r="O437" s="35">
        <v>-32</v>
      </c>
      <c r="P437" s="35">
        <v>-20</v>
      </c>
      <c r="Q437" s="35">
        <v>-53</v>
      </c>
      <c r="R437" s="22" t="s">
        <v>1406</v>
      </c>
      <c r="S437" s="22" t="s">
        <v>1407</v>
      </c>
      <c r="AJ437" s="175"/>
      <c r="AK437" s="175"/>
      <c r="AL437" s="175"/>
      <c r="AM437" s="175"/>
      <c r="AN437" s="175"/>
      <c r="AO437" s="175"/>
      <c r="AP437" s="175"/>
      <c r="AS437" s="3"/>
      <c r="BD437" s="97"/>
      <c r="EL437" s="3"/>
      <c r="EM437" s="3"/>
      <c r="FK437" s="135"/>
      <c r="HK437" s="170"/>
      <c r="HL437" s="175"/>
      <c r="HM437" s="175" t="s">
        <v>3970</v>
      </c>
      <c r="HN437" s="175">
        <f>IF(HN270=HM437,27,0)</f>
        <v>0</v>
      </c>
      <c r="HO437" s="175"/>
      <c r="HP437" s="175"/>
      <c r="HQ437" s="175"/>
      <c r="HR437" s="175"/>
      <c r="HS437" s="175"/>
      <c r="HT437" s="175"/>
      <c r="HU437" s="175"/>
      <c r="HV437" s="175"/>
      <c r="HW437" s="175"/>
      <c r="HX437" s="175"/>
      <c r="HY437" s="175"/>
      <c r="HZ437" s="175"/>
      <c r="IA437" s="175"/>
      <c r="IB437" s="170"/>
      <c r="IG437" s="1"/>
      <c r="IH437" s="1"/>
      <c r="II437" s="1"/>
      <c r="IJ437" s="1"/>
      <c r="IK437" s="1"/>
      <c r="IL437" s="1"/>
      <c r="IM437" s="1"/>
      <c r="IN437" s="1"/>
      <c r="IO437" s="1"/>
      <c r="IP437" s="1"/>
      <c r="IQ437" s="1"/>
      <c r="IR437" s="1"/>
      <c r="IS437" s="1"/>
      <c r="IT437" s="1"/>
      <c r="IU437" s="1"/>
      <c r="IV437" s="1"/>
      <c r="IW437" s="1"/>
      <c r="IX437" s="1"/>
      <c r="IY437" s="1"/>
      <c r="IZ437" s="1"/>
      <c r="JA437" s="1"/>
      <c r="JB437" s="1"/>
      <c r="JC437" s="1"/>
      <c r="JD437" s="135"/>
    </row>
    <row r="438" spans="9:264">
      <c r="I438" s="35"/>
      <c r="J438" s="156" t="s">
        <v>1408</v>
      </c>
      <c r="K438" s="156" t="s">
        <v>1408</v>
      </c>
      <c r="L438" s="35">
        <v>18</v>
      </c>
      <c r="M438" s="35">
        <v>43</v>
      </c>
      <c r="N438" s="35">
        <v>12.8</v>
      </c>
      <c r="O438" s="35">
        <v>-32</v>
      </c>
      <c r="P438" s="35">
        <v>-17</v>
      </c>
      <c r="Q438" s="35">
        <v>-32</v>
      </c>
      <c r="R438" s="22" t="s">
        <v>1409</v>
      </c>
      <c r="S438" s="22" t="s">
        <v>1410</v>
      </c>
      <c r="AJ438" s="175"/>
      <c r="AK438" s="175"/>
      <c r="AL438" s="175"/>
      <c r="AM438" s="175"/>
      <c r="AN438" s="175"/>
      <c r="AO438" s="175"/>
      <c r="AP438" s="175"/>
      <c r="AS438" s="3"/>
      <c r="BD438" s="97"/>
      <c r="EL438" s="3"/>
      <c r="EM438" s="3"/>
      <c r="FK438" s="135"/>
      <c r="HK438" s="170"/>
      <c r="HL438" s="175"/>
      <c r="HM438" s="1" t="s">
        <v>3688</v>
      </c>
      <c r="HN438" s="564">
        <f>HN436+HN437</f>
        <v>0</v>
      </c>
      <c r="HO438" s="175"/>
      <c r="HP438" s="175"/>
      <c r="HQ438" s="175"/>
      <c r="HR438" s="175"/>
      <c r="HS438" s="175"/>
      <c r="HT438" s="175"/>
      <c r="HU438" s="175"/>
      <c r="HV438" s="175"/>
      <c r="HW438" s="175"/>
      <c r="HX438" s="175"/>
      <c r="HY438" s="175"/>
      <c r="HZ438" s="175"/>
      <c r="IA438" s="175"/>
      <c r="IB438" s="170"/>
      <c r="IG438" s="1"/>
      <c r="IH438" s="1"/>
      <c r="II438" s="1"/>
      <c r="IJ438" s="1"/>
      <c r="IK438" s="1"/>
      <c r="IL438" s="1"/>
      <c r="IM438" s="1"/>
      <c r="IN438" s="1"/>
      <c r="IO438" s="1"/>
      <c r="IP438" s="1"/>
      <c r="IQ438" s="1"/>
      <c r="IR438" s="1"/>
      <c r="IS438" s="1"/>
      <c r="IT438" s="1"/>
      <c r="IU438" s="1"/>
      <c r="IV438" s="1"/>
      <c r="IW438" s="1"/>
      <c r="IX438" s="1"/>
      <c r="IY438" s="1"/>
      <c r="IZ438" s="1"/>
      <c r="JA438" s="1"/>
      <c r="JB438" s="1"/>
      <c r="JC438" s="1"/>
      <c r="JD438" s="135"/>
    </row>
    <row r="439" spans="9:264">
      <c r="I439" s="35"/>
      <c r="J439" s="156" t="s">
        <v>1411</v>
      </c>
      <c r="K439" s="156" t="s">
        <v>1411</v>
      </c>
      <c r="L439" s="35">
        <v>19</v>
      </c>
      <c r="M439" s="35">
        <v>53</v>
      </c>
      <c r="N439" s="35">
        <v>46.1</v>
      </c>
      <c r="O439" s="35">
        <v>18</v>
      </c>
      <c r="P439" s="35">
        <v>46</v>
      </c>
      <c r="Q439" s="35">
        <v>45</v>
      </c>
      <c r="R439" s="22" t="s">
        <v>1412</v>
      </c>
      <c r="S439" s="22" t="s">
        <v>1413</v>
      </c>
      <c r="AJ439" s="175"/>
      <c r="AK439" s="175"/>
      <c r="AL439" s="175"/>
      <c r="AM439" s="175"/>
      <c r="AN439" s="175"/>
      <c r="AO439" s="175"/>
      <c r="AP439" s="175"/>
      <c r="AS439" s="3"/>
      <c r="BD439" s="97"/>
      <c r="EL439" s="3"/>
      <c r="EM439" s="3"/>
      <c r="FK439" s="135"/>
      <c r="HK439" s="170"/>
      <c r="HL439" s="175"/>
      <c r="HM439" s="562">
        <v>28</v>
      </c>
      <c r="HN439" s="175"/>
      <c r="HO439" s="175"/>
      <c r="HP439" s="175"/>
      <c r="HQ439" s="175"/>
      <c r="HR439" s="175"/>
      <c r="HS439" s="175"/>
      <c r="HT439" s="175"/>
      <c r="HU439" s="175"/>
      <c r="HV439" s="175"/>
      <c r="HW439" s="175"/>
      <c r="HX439" s="175"/>
      <c r="HY439" s="175"/>
      <c r="HZ439" s="175"/>
      <c r="IA439" s="175"/>
      <c r="IB439" s="170"/>
      <c r="IG439" s="1"/>
      <c r="IH439" s="1"/>
      <c r="II439" s="1"/>
      <c r="IJ439" s="1"/>
      <c r="IK439" s="1"/>
      <c r="IL439" s="1"/>
      <c r="IM439" s="1"/>
      <c r="IN439" s="1"/>
      <c r="IO439" s="1"/>
      <c r="IP439" s="1"/>
      <c r="IQ439" s="1"/>
      <c r="IR439" s="1"/>
      <c r="IS439" s="1"/>
      <c r="IT439" s="1"/>
      <c r="IU439" s="1"/>
      <c r="IV439" s="1"/>
      <c r="IW439" s="1"/>
      <c r="IX439" s="1"/>
      <c r="IY439" s="1"/>
      <c r="IZ439" s="1"/>
      <c r="JA439" s="1"/>
      <c r="JB439" s="1"/>
      <c r="JC439" s="1"/>
      <c r="JD439" s="135"/>
    </row>
    <row r="440" spans="9:264">
      <c r="I440" s="35"/>
      <c r="J440" s="156" t="s">
        <v>1414</v>
      </c>
      <c r="K440" s="156" t="s">
        <v>1414</v>
      </c>
      <c r="L440" s="35">
        <v>20</v>
      </c>
      <c r="M440" s="35">
        <v>53</v>
      </c>
      <c r="N440" s="35">
        <v>27.7</v>
      </c>
      <c r="O440" s="35">
        <v>-12</v>
      </c>
      <c r="P440" s="35">
        <v>-32</v>
      </c>
      <c r="Q440" s="35">
        <v>-14</v>
      </c>
      <c r="R440" s="22" t="s">
        <v>1415</v>
      </c>
      <c r="S440" s="22" t="s">
        <v>1416</v>
      </c>
      <c r="AJ440" s="175"/>
      <c r="AK440" s="175"/>
      <c r="AL440" s="175"/>
      <c r="AM440" s="175"/>
      <c r="AN440" s="175"/>
      <c r="AO440" s="175"/>
      <c r="AP440" s="175"/>
      <c r="AS440" s="3"/>
      <c r="BD440" s="97"/>
      <c r="EL440" s="3"/>
      <c r="EM440" s="3"/>
      <c r="FK440" s="135"/>
      <c r="HK440" s="170"/>
      <c r="HL440" s="175"/>
      <c r="HM440" s="1" t="s">
        <v>3971</v>
      </c>
      <c r="HN440" s="175" t="s">
        <v>2069</v>
      </c>
      <c r="HO440" s="175"/>
      <c r="HP440" s="175"/>
      <c r="HQ440" s="175"/>
      <c r="HR440" s="175"/>
      <c r="HS440" s="175"/>
      <c r="HT440" s="175"/>
      <c r="HU440" s="175"/>
      <c r="HV440" s="175"/>
      <c r="HW440" s="175"/>
      <c r="HX440" s="175"/>
      <c r="HY440" s="175"/>
      <c r="HZ440" s="175"/>
      <c r="IA440" s="175"/>
      <c r="IB440" s="170"/>
      <c r="IG440" s="1"/>
      <c r="IH440" s="1"/>
      <c r="II440" s="1"/>
      <c r="IJ440" s="1"/>
      <c r="IK440" s="1"/>
      <c r="IL440" s="1"/>
      <c r="IM440" s="1"/>
      <c r="IN440" s="1"/>
      <c r="IO440" s="1"/>
      <c r="IP440" s="1"/>
      <c r="IQ440" s="1"/>
      <c r="IR440" s="1"/>
      <c r="IS440" s="1"/>
      <c r="IT440" s="1"/>
      <c r="IU440" s="1"/>
      <c r="IV440" s="1"/>
      <c r="IW440" s="1"/>
      <c r="IX440" s="1"/>
      <c r="IY440" s="1"/>
      <c r="IZ440" s="1"/>
      <c r="JA440" s="1"/>
      <c r="JB440" s="1"/>
      <c r="JC440" s="1"/>
      <c r="JD440" s="135"/>
    </row>
    <row r="441" spans="9:264">
      <c r="I441" s="35"/>
      <c r="J441" s="156" t="s">
        <v>1417</v>
      </c>
      <c r="K441" s="156" t="s">
        <v>1417</v>
      </c>
      <c r="L441" s="35">
        <v>20</v>
      </c>
      <c r="M441" s="35">
        <v>58</v>
      </c>
      <c r="N441" s="35">
        <v>59</v>
      </c>
      <c r="O441" s="35">
        <v>-12</v>
      </c>
      <c r="P441" s="35">
        <v>-38</v>
      </c>
      <c r="Q441" s="35">
        <v>0</v>
      </c>
      <c r="R441" s="22" t="s">
        <v>1418</v>
      </c>
      <c r="S441" s="22" t="s">
        <v>1419</v>
      </c>
      <c r="AJ441" s="175"/>
      <c r="AK441" s="175"/>
      <c r="AL441" s="175"/>
      <c r="AM441" s="175"/>
      <c r="AN441" s="175"/>
      <c r="AO441" s="175"/>
      <c r="AP441" s="175"/>
      <c r="AS441" s="3"/>
      <c r="BD441" s="97"/>
      <c r="EL441" s="3"/>
      <c r="EM441" s="3"/>
      <c r="FK441" s="135"/>
      <c r="HK441" s="170"/>
      <c r="HM441" s="175" t="s">
        <v>3913</v>
      </c>
      <c r="HN441" s="170">
        <f>IF(HN270=HM441,28,0)</f>
        <v>0</v>
      </c>
      <c r="HU441" s="175"/>
      <c r="HV441" s="175"/>
      <c r="IB441" s="170"/>
      <c r="IG441" s="1"/>
      <c r="IH441" s="1"/>
      <c r="II441" s="1"/>
      <c r="IJ441" s="1"/>
      <c r="IK441" s="1"/>
      <c r="IL441" s="1"/>
      <c r="IM441" s="1"/>
      <c r="IN441" s="1"/>
      <c r="IO441" s="1"/>
      <c r="IP441" s="1"/>
      <c r="IQ441" s="1"/>
      <c r="IR441" s="1"/>
      <c r="IS441" s="1"/>
      <c r="IT441" s="1"/>
      <c r="IU441" s="1"/>
      <c r="IV441" s="1"/>
      <c r="IW441" s="1"/>
      <c r="IX441" s="1"/>
      <c r="IY441" s="1"/>
      <c r="IZ441" s="1"/>
      <c r="JA441" s="1"/>
      <c r="JB441" s="1"/>
      <c r="JC441" s="1"/>
      <c r="JD441" s="135"/>
    </row>
    <row r="442" spans="9:264">
      <c r="I442" s="35"/>
      <c r="J442" s="156" t="s">
        <v>1420</v>
      </c>
      <c r="K442" s="156" t="s">
        <v>1420</v>
      </c>
      <c r="L442" s="35">
        <v>1</v>
      </c>
      <c r="M442" s="35">
        <v>36</v>
      </c>
      <c r="N442" s="35">
        <v>41.8</v>
      </c>
      <c r="O442" s="35">
        <v>15</v>
      </c>
      <c r="P442" s="35">
        <v>47</v>
      </c>
      <c r="Q442" s="35">
        <v>0</v>
      </c>
      <c r="R442" s="22" t="s">
        <v>1421</v>
      </c>
      <c r="S442" s="22" t="s">
        <v>1422</v>
      </c>
      <c r="AJ442" s="175"/>
      <c r="AK442" s="175"/>
      <c r="AL442" s="175"/>
      <c r="AM442" s="175"/>
      <c r="AN442" s="175"/>
      <c r="AO442" s="175"/>
      <c r="AP442" s="175"/>
      <c r="AS442" s="3"/>
      <c r="BD442" s="97"/>
      <c r="EL442" s="3"/>
      <c r="EM442" s="3"/>
      <c r="FK442" s="135"/>
      <c r="HK442" s="170"/>
      <c r="HM442" s="562">
        <v>29</v>
      </c>
      <c r="HN442" s="175"/>
      <c r="IB442" s="170"/>
      <c r="IG442" s="1"/>
      <c r="IH442" s="1"/>
      <c r="II442" s="1"/>
      <c r="IJ442" s="1"/>
      <c r="IK442" s="1"/>
      <c r="IL442" s="1"/>
      <c r="IM442" s="1"/>
      <c r="IN442" s="1"/>
      <c r="IO442" s="1"/>
      <c r="IP442" s="1"/>
      <c r="IQ442" s="1"/>
      <c r="IR442" s="1"/>
      <c r="IS442" s="1"/>
      <c r="IT442" s="1"/>
      <c r="IU442" s="1"/>
      <c r="IV442" s="1"/>
      <c r="IW442" s="1"/>
      <c r="IX442" s="1"/>
      <c r="IY442" s="1"/>
      <c r="IZ442" s="1"/>
      <c r="JA442" s="1"/>
      <c r="JB442" s="1"/>
      <c r="JC442" s="1"/>
      <c r="JD442" s="135"/>
    </row>
    <row r="443" spans="9:264">
      <c r="I443" s="35"/>
      <c r="J443" s="156" t="s">
        <v>1423</v>
      </c>
      <c r="K443" s="156" t="s">
        <v>1423</v>
      </c>
      <c r="L443" s="35">
        <v>20</v>
      </c>
      <c r="M443" s="35">
        <v>6</v>
      </c>
      <c r="N443" s="35">
        <v>4.8</v>
      </c>
      <c r="O443" s="35">
        <v>-21</v>
      </c>
      <c r="P443" s="35">
        <v>-55</v>
      </c>
      <c r="Q443" s="35">
        <v>-20</v>
      </c>
      <c r="R443" s="22" t="s">
        <v>1424</v>
      </c>
      <c r="S443" s="22" t="s">
        <v>1425</v>
      </c>
      <c r="AJ443" s="175"/>
      <c r="AK443" s="175"/>
      <c r="AL443" s="175"/>
      <c r="AM443" s="175"/>
      <c r="AN443" s="175"/>
      <c r="AO443" s="175"/>
      <c r="AP443" s="175"/>
      <c r="AS443" s="3"/>
      <c r="BD443" s="97"/>
      <c r="EL443" s="3"/>
      <c r="EM443" s="3"/>
      <c r="FK443" s="135"/>
      <c r="HK443" s="170"/>
      <c r="HM443" s="1" t="s">
        <v>4049</v>
      </c>
      <c r="HN443" s="170">
        <f>IF(HN274=HM443,29,0)</f>
        <v>0</v>
      </c>
      <c r="IB443" s="170"/>
      <c r="IG443" s="1"/>
      <c r="IH443" s="1"/>
      <c r="II443" s="1"/>
      <c r="IJ443" s="1"/>
      <c r="IK443" s="1"/>
      <c r="IL443" s="1"/>
      <c r="IM443" s="1"/>
      <c r="IN443" s="1"/>
      <c r="IO443" s="1"/>
      <c r="IP443" s="1"/>
      <c r="IQ443" s="1"/>
      <c r="IR443" s="1"/>
      <c r="IS443" s="1"/>
      <c r="IT443" s="1"/>
      <c r="IU443" s="1"/>
      <c r="IV443" s="1"/>
      <c r="IW443" s="1"/>
      <c r="IX443" s="1"/>
      <c r="IY443" s="1"/>
      <c r="IZ443" s="1"/>
      <c r="JA443" s="1"/>
      <c r="JB443" s="1"/>
      <c r="JC443" s="1"/>
      <c r="JD443" s="135"/>
    </row>
    <row r="444" spans="9:264">
      <c r="I444" s="35"/>
      <c r="J444" s="156" t="s">
        <v>1426</v>
      </c>
      <c r="K444" s="156" t="s">
        <v>1426</v>
      </c>
      <c r="L444" s="35">
        <v>1</v>
      </c>
      <c r="M444" s="35">
        <v>42</v>
      </c>
      <c r="N444" s="35">
        <v>19.7</v>
      </c>
      <c r="O444" s="35">
        <v>51</v>
      </c>
      <c r="P444" s="35">
        <v>32</v>
      </c>
      <c r="Q444" s="35">
        <v>50</v>
      </c>
      <c r="R444" s="22" t="s">
        <v>1427</v>
      </c>
      <c r="S444" s="22" t="s">
        <v>1428</v>
      </c>
      <c r="AJ444" s="175"/>
      <c r="AK444" s="175"/>
      <c r="AL444" s="175"/>
      <c r="AM444" s="175"/>
      <c r="AN444" s="175"/>
      <c r="AO444" s="175"/>
      <c r="AP444" s="175"/>
      <c r="AS444" s="3"/>
      <c r="BD444" s="97"/>
      <c r="EL444" s="3"/>
      <c r="EM444" s="3"/>
      <c r="FK444" s="135"/>
      <c r="HK444" s="170"/>
      <c r="IB444" s="170"/>
      <c r="IG444" s="1"/>
      <c r="IH444" s="1"/>
      <c r="II444" s="1"/>
      <c r="IJ444" s="1"/>
      <c r="IK444" s="1"/>
      <c r="IL444" s="1"/>
      <c r="IM444" s="1"/>
      <c r="IN444" s="1"/>
      <c r="IO444" s="1"/>
      <c r="IP444" s="1"/>
      <c r="IQ444" s="1"/>
      <c r="IR444" s="1"/>
      <c r="IS444" s="1"/>
      <c r="IT444" s="1"/>
      <c r="IU444" s="1"/>
      <c r="IV444" s="1"/>
      <c r="IW444" s="1"/>
      <c r="IX444" s="1"/>
      <c r="IY444" s="1"/>
      <c r="IZ444" s="1"/>
      <c r="JA444" s="1"/>
      <c r="JB444" s="1"/>
      <c r="JC444" s="1"/>
      <c r="JD444" s="135"/>
    </row>
    <row r="445" spans="9:264">
      <c r="I445" s="35"/>
      <c r="J445" s="156" t="s">
        <v>1429</v>
      </c>
      <c r="K445" s="156" t="s">
        <v>1429</v>
      </c>
      <c r="L445" s="35">
        <v>2</v>
      </c>
      <c r="M445" s="35">
        <v>42</v>
      </c>
      <c r="N445" s="35">
        <v>40.799999999999997</v>
      </c>
      <c r="O445" s="35">
        <v>0</v>
      </c>
      <c r="P445" s="35">
        <v>0</v>
      </c>
      <c r="Q445" s="35">
        <v>-48</v>
      </c>
      <c r="R445" s="22" t="s">
        <v>1430</v>
      </c>
      <c r="S445" s="22" t="s">
        <v>1431</v>
      </c>
      <c r="AJ445" s="175"/>
      <c r="AK445" s="175"/>
      <c r="AL445" s="175"/>
      <c r="AM445" s="175"/>
      <c r="AN445" s="175"/>
      <c r="AO445" s="175"/>
      <c r="AP445" s="175"/>
      <c r="AS445" s="3"/>
      <c r="BD445" s="97"/>
      <c r="EL445" s="3"/>
      <c r="EM445" s="3"/>
      <c r="FK445" s="135"/>
      <c r="HK445" s="170"/>
      <c r="HM445" s="423" t="s">
        <v>3973</v>
      </c>
      <c r="HN445" s="175"/>
      <c r="IB445" s="170"/>
      <c r="IG445" s="1"/>
      <c r="IH445" s="1"/>
      <c r="II445" s="1"/>
      <c r="IJ445" s="1"/>
      <c r="IK445" s="1"/>
      <c r="IL445" s="1"/>
      <c r="IM445" s="1"/>
      <c r="IN445" s="1"/>
      <c r="IO445" s="1"/>
      <c r="IP445" s="1"/>
      <c r="IQ445" s="1"/>
      <c r="IR445" s="1"/>
      <c r="IS445" s="1"/>
      <c r="IT445" s="1"/>
      <c r="IU445" s="1"/>
      <c r="IV445" s="1"/>
      <c r="IW445" s="1"/>
      <c r="IX445" s="1"/>
      <c r="IY445" s="1"/>
      <c r="IZ445" s="1"/>
      <c r="JA445" s="1"/>
      <c r="JB445" s="1"/>
      <c r="JC445" s="1"/>
      <c r="JD445" s="135"/>
    </row>
    <row r="446" spans="9:264">
      <c r="I446" s="35"/>
      <c r="J446" s="156" t="s">
        <v>1432</v>
      </c>
      <c r="K446" s="156" t="s">
        <v>1432</v>
      </c>
      <c r="L446" s="35">
        <v>5</v>
      </c>
      <c r="M446" s="35">
        <v>46</v>
      </c>
      <c r="N446" s="35">
        <v>45.8</v>
      </c>
      <c r="O446" s="35">
        <v>0</v>
      </c>
      <c r="P446" s="35">
        <v>4</v>
      </c>
      <c r="Q446" s="35">
        <v>45</v>
      </c>
      <c r="R446" s="22" t="s">
        <v>1433</v>
      </c>
      <c r="S446" s="22" t="s">
        <v>1434</v>
      </c>
      <c r="AJ446" s="175"/>
      <c r="AK446" s="175"/>
      <c r="AL446" s="175"/>
      <c r="AM446" s="175"/>
      <c r="AN446" s="175"/>
      <c r="AO446" s="175"/>
      <c r="AP446" s="175"/>
      <c r="AS446" s="3"/>
      <c r="BD446" s="97"/>
      <c r="EL446" s="3"/>
      <c r="EM446" s="3"/>
      <c r="FK446" s="135"/>
      <c r="HK446" s="170"/>
      <c r="HL446" s="175"/>
      <c r="HM446" s="565" t="s">
        <v>3974</v>
      </c>
      <c r="HN446" s="118">
        <f>HN441+HN438+HN433+HN428+HN424+HN443</f>
        <v>0</v>
      </c>
      <c r="HO446" s="175"/>
      <c r="HP446" s="175"/>
      <c r="HQ446" s="175"/>
      <c r="HR446" s="175"/>
      <c r="HS446" s="175"/>
      <c r="HT446" s="175"/>
      <c r="HW446" s="175"/>
      <c r="HX446" s="175"/>
      <c r="HY446" s="175"/>
      <c r="HZ446" s="175"/>
      <c r="IA446" s="175"/>
      <c r="IB446" s="170"/>
      <c r="IG446" s="1"/>
      <c r="IH446" s="1"/>
      <c r="II446" s="1"/>
      <c r="IJ446" s="1"/>
      <c r="IK446" s="1"/>
      <c r="IL446" s="1"/>
      <c r="IM446" s="1"/>
      <c r="IN446" s="1"/>
      <c r="IO446" s="1"/>
      <c r="IP446" s="1"/>
      <c r="IQ446" s="1"/>
      <c r="IR446" s="1"/>
      <c r="IS446" s="1"/>
      <c r="IT446" s="1"/>
      <c r="IU446" s="1"/>
      <c r="IV446" s="1"/>
      <c r="IW446" s="1"/>
      <c r="IX446" s="1"/>
      <c r="IY446" s="1"/>
      <c r="IZ446" s="1"/>
      <c r="JA446" s="1"/>
      <c r="JB446" s="1"/>
      <c r="JC446" s="1"/>
      <c r="JD446" s="135"/>
    </row>
    <row r="447" spans="9:264">
      <c r="I447" s="35"/>
      <c r="J447" s="156" t="s">
        <v>1435</v>
      </c>
      <c r="K447" s="156" t="s">
        <v>1435</v>
      </c>
      <c r="L447" s="35">
        <v>5</v>
      </c>
      <c r="M447" s="35">
        <v>24</v>
      </c>
      <c r="N447" s="35">
        <v>10.6</v>
      </c>
      <c r="O447" s="35">
        <v>-24</v>
      </c>
      <c r="P447" s="35">
        <v>-31</v>
      </c>
      <c r="Q447" s="35">
        <v>-27</v>
      </c>
      <c r="R447" s="22" t="s">
        <v>1436</v>
      </c>
      <c r="S447" s="22" t="s">
        <v>1437</v>
      </c>
      <c r="AJ447" s="175"/>
      <c r="AK447" s="175"/>
      <c r="AL447" s="175"/>
      <c r="AM447" s="175"/>
      <c r="AN447" s="175"/>
      <c r="AO447" s="175"/>
      <c r="AP447" s="175"/>
      <c r="AS447" s="3"/>
      <c r="BD447" s="97"/>
      <c r="EL447" s="3"/>
      <c r="EM447" s="3"/>
      <c r="FK447" s="135"/>
      <c r="FL447" s="175"/>
      <c r="FM447" s="175"/>
      <c r="FN447" s="175"/>
      <c r="FO447" s="175"/>
      <c r="FP447" s="175"/>
      <c r="FQ447" s="175"/>
      <c r="FR447" s="175"/>
      <c r="FS447" s="175"/>
      <c r="FT447" s="175"/>
      <c r="FU447" s="175"/>
      <c r="FV447" s="175"/>
      <c r="FW447" s="175"/>
      <c r="FX447" s="175"/>
      <c r="FY447" s="175"/>
      <c r="FZ447" s="175"/>
      <c r="GA447" s="175"/>
      <c r="GB447" s="175"/>
      <c r="GC447" s="175"/>
      <c r="GD447" s="175"/>
      <c r="GE447" s="175"/>
      <c r="GF447" s="175"/>
      <c r="GG447" s="175"/>
      <c r="GH447" s="175"/>
      <c r="GI447" s="175"/>
      <c r="GJ447" s="175"/>
      <c r="GK447" s="175"/>
      <c r="GL447" s="175"/>
      <c r="GM447" s="175"/>
      <c r="GN447" s="175"/>
      <c r="GO447" s="175"/>
      <c r="GP447" s="175"/>
      <c r="GQ447" s="175"/>
      <c r="GR447" s="175"/>
      <c r="GS447" s="175"/>
      <c r="GT447" s="175"/>
      <c r="GU447" s="175"/>
      <c r="GV447" s="175"/>
      <c r="GW447" s="175"/>
      <c r="GX447" s="175"/>
      <c r="GY447" s="175"/>
      <c r="GZ447" s="175"/>
      <c r="HA447" s="175"/>
      <c r="HB447" s="175"/>
      <c r="HC447" s="175"/>
      <c r="HD447" s="175"/>
      <c r="HE447" s="175"/>
      <c r="HF447" s="175"/>
      <c r="HG447" s="175"/>
      <c r="HH447" s="175"/>
      <c r="HI447" s="175"/>
      <c r="HJ447" s="175"/>
      <c r="HK447" s="170"/>
      <c r="HL447" s="419" t="s">
        <v>2854</v>
      </c>
      <c r="HU447" s="175"/>
      <c r="HV447" s="175"/>
      <c r="IB447" s="170"/>
      <c r="IG447" s="1"/>
      <c r="IH447" s="1"/>
      <c r="II447" s="1"/>
      <c r="IJ447" s="1"/>
      <c r="IK447" s="1"/>
      <c r="IL447" s="1"/>
      <c r="IM447" s="1"/>
      <c r="IN447" s="1"/>
      <c r="IO447" s="1"/>
      <c r="IP447" s="1"/>
      <c r="IQ447" s="1"/>
      <c r="IR447" s="1"/>
      <c r="IS447" s="1"/>
      <c r="IT447" s="1"/>
      <c r="IU447" s="1"/>
      <c r="IV447" s="1"/>
      <c r="IW447" s="1"/>
      <c r="IX447" s="1"/>
      <c r="IY447" s="1"/>
      <c r="IZ447" s="1"/>
      <c r="JA447" s="1"/>
      <c r="JB447" s="1"/>
      <c r="JC447" s="1"/>
      <c r="JD447" s="135"/>
    </row>
    <row r="448" spans="9:264">
      <c r="I448" s="35"/>
      <c r="J448" s="156" t="s">
        <v>1438</v>
      </c>
      <c r="K448" s="156" t="s">
        <v>1438</v>
      </c>
      <c r="L448" s="35">
        <v>16</v>
      </c>
      <c r="M448" s="35">
        <v>17</v>
      </c>
      <c r="N448" s="35">
        <v>2.4</v>
      </c>
      <c r="O448" s="35">
        <v>-22</v>
      </c>
      <c r="P448" s="35">
        <v>-58</v>
      </c>
      <c r="Q448" s="35">
        <v>-34</v>
      </c>
      <c r="R448" s="22" t="s">
        <v>1439</v>
      </c>
      <c r="S448" s="22" t="s">
        <v>1440</v>
      </c>
      <c r="AJ448" s="175"/>
      <c r="AK448" s="175"/>
      <c r="AL448" s="175"/>
      <c r="AM448" s="175"/>
      <c r="AN448" s="175"/>
      <c r="AO448" s="175"/>
      <c r="AP448" s="175"/>
      <c r="AS448" s="3"/>
      <c r="BD448" s="97"/>
      <c r="EL448" s="3"/>
      <c r="EM448" s="3"/>
      <c r="FK448" s="135"/>
      <c r="HK448" s="170"/>
      <c r="HL448" s="419">
        <f>FQ307</f>
        <v>0</v>
      </c>
      <c r="HU448" s="175"/>
      <c r="HV448" s="175"/>
      <c r="IB448" s="170"/>
      <c r="IG448" s="1"/>
      <c r="IH448" s="1"/>
      <c r="II448" s="1"/>
      <c r="IJ448" s="1"/>
      <c r="IK448" s="1"/>
      <c r="IL448" s="1"/>
      <c r="IM448" s="1"/>
      <c r="IN448" s="1"/>
      <c r="IO448" s="1"/>
      <c r="IP448" s="1"/>
      <c r="IQ448" s="1"/>
      <c r="IR448" s="1"/>
      <c r="IS448" s="1"/>
      <c r="IT448" s="1"/>
      <c r="IU448" s="1"/>
      <c r="IV448" s="1"/>
      <c r="IW448" s="1"/>
      <c r="IX448" s="1"/>
      <c r="IY448" s="1"/>
      <c r="IZ448" s="1"/>
      <c r="JA448" s="1"/>
      <c r="JB448" s="1"/>
      <c r="JC448" s="1"/>
      <c r="JD448" s="473"/>
    </row>
    <row r="449" spans="9:264">
      <c r="I449" s="35"/>
      <c r="J449" s="156" t="s">
        <v>1441</v>
      </c>
      <c r="K449" s="156" t="s">
        <v>1441</v>
      </c>
      <c r="L449" s="35">
        <v>9</v>
      </c>
      <c r="M449" s="35">
        <v>55</v>
      </c>
      <c r="N449" s="35">
        <v>33.200000000000003</v>
      </c>
      <c r="O449" s="35">
        <v>69</v>
      </c>
      <c r="P449" s="35">
        <v>3</v>
      </c>
      <c r="Q449" s="35">
        <v>55</v>
      </c>
      <c r="R449" s="22" t="s">
        <v>1442</v>
      </c>
      <c r="S449" s="22" t="s">
        <v>1443</v>
      </c>
      <c r="AJ449" s="175"/>
      <c r="AK449" s="175"/>
      <c r="AL449" s="175"/>
      <c r="AM449" s="175"/>
      <c r="AN449" s="175"/>
      <c r="AO449" s="175"/>
      <c r="AP449" s="175"/>
      <c r="AS449" s="3"/>
      <c r="BD449" s="97"/>
      <c r="EL449" s="3"/>
      <c r="EM449" s="3"/>
      <c r="FK449" s="135"/>
      <c r="HK449" s="170"/>
      <c r="HL449" s="419" t="s">
        <v>3975</v>
      </c>
      <c r="HU449" s="175"/>
      <c r="HV449" s="175"/>
      <c r="IB449" s="170"/>
      <c r="IG449" s="1"/>
      <c r="IH449" s="1"/>
      <c r="II449" s="1"/>
      <c r="IJ449" s="1"/>
      <c r="IK449" s="1"/>
      <c r="IL449" s="1"/>
      <c r="IM449" s="1"/>
      <c r="IN449" s="1"/>
      <c r="IO449" s="1"/>
      <c r="IP449" s="1"/>
      <c r="IQ449" s="1"/>
      <c r="IR449" s="1"/>
      <c r="IS449" s="1"/>
      <c r="IT449" s="1"/>
      <c r="IU449" s="1"/>
      <c r="IV449" s="1"/>
      <c r="IW449" s="1"/>
      <c r="IX449" s="1"/>
      <c r="IY449" s="1"/>
      <c r="IZ449" s="1"/>
      <c r="JA449" s="1"/>
      <c r="JB449" s="1"/>
      <c r="JC449" s="1"/>
      <c r="JD449" s="473"/>
    </row>
    <row r="450" spans="9:264">
      <c r="I450" s="35"/>
      <c r="J450" s="156" t="s">
        <v>1444</v>
      </c>
      <c r="K450" s="156" t="s">
        <v>1444</v>
      </c>
      <c r="L450" s="35">
        <v>13</v>
      </c>
      <c r="M450" s="35">
        <v>37</v>
      </c>
      <c r="N450" s="35">
        <v>0.9</v>
      </c>
      <c r="O450" s="35">
        <v>-29</v>
      </c>
      <c r="P450" s="35">
        <v>-51</v>
      </c>
      <c r="Q450" s="35">
        <v>-57</v>
      </c>
      <c r="R450" s="22" t="s">
        <v>1445</v>
      </c>
      <c r="S450" s="22" t="s">
        <v>1446</v>
      </c>
      <c r="AJ450" s="175"/>
      <c r="AK450" s="175"/>
      <c r="AL450" s="175"/>
      <c r="AM450" s="175"/>
      <c r="AN450" s="175"/>
      <c r="AO450" s="175"/>
      <c r="AP450" s="175"/>
      <c r="AS450" s="3"/>
      <c r="BD450" s="97"/>
      <c r="EL450" s="3"/>
      <c r="EM450" s="3"/>
      <c r="FK450" s="135"/>
      <c r="HK450" s="170"/>
      <c r="HL450" s="529">
        <f>HY272</f>
        <v>0</v>
      </c>
      <c r="HM450" s="175"/>
      <c r="HN450" s="175"/>
      <c r="HU450" s="175"/>
      <c r="HV450" s="175"/>
      <c r="IB450" s="170"/>
      <c r="IG450" s="1"/>
      <c r="IH450" s="1"/>
      <c r="II450" s="1"/>
      <c r="IJ450" s="1"/>
      <c r="IK450" s="1"/>
      <c r="IL450" s="1"/>
      <c r="IM450" s="1"/>
      <c r="IN450" s="1"/>
      <c r="IO450" s="1"/>
      <c r="IP450" s="1"/>
      <c r="IQ450" s="1"/>
      <c r="IR450" s="1"/>
      <c r="IS450" s="1"/>
      <c r="IT450" s="1"/>
      <c r="IU450" s="1"/>
      <c r="IV450" s="1"/>
      <c r="IW450" s="1"/>
      <c r="IX450" s="1"/>
      <c r="IY450" s="1"/>
      <c r="IZ450" s="1"/>
      <c r="JA450" s="1"/>
      <c r="JB450" s="1"/>
      <c r="JC450" s="1"/>
      <c r="JD450" s="473"/>
    </row>
    <row r="451" spans="9:264">
      <c r="I451" s="35"/>
      <c r="J451" s="156" t="s">
        <v>1447</v>
      </c>
      <c r="K451" s="156" t="s">
        <v>1447</v>
      </c>
      <c r="L451" s="35">
        <v>12</v>
      </c>
      <c r="M451" s="35">
        <v>25</v>
      </c>
      <c r="N451" s="35">
        <v>3.7</v>
      </c>
      <c r="O451" s="35">
        <v>12</v>
      </c>
      <c r="P451" s="35">
        <v>53</v>
      </c>
      <c r="Q451" s="35">
        <v>13</v>
      </c>
      <c r="R451" s="22" t="s">
        <v>1448</v>
      </c>
      <c r="S451" s="22" t="s">
        <v>1449</v>
      </c>
      <c r="AJ451" s="175"/>
      <c r="AK451" s="175"/>
      <c r="AL451" s="175"/>
      <c r="AM451" s="175"/>
      <c r="AN451" s="175"/>
      <c r="AO451" s="175"/>
      <c r="AP451" s="175"/>
      <c r="AS451" s="3"/>
      <c r="BD451" s="97"/>
      <c r="EL451" s="3"/>
      <c r="EM451" s="3"/>
      <c r="FK451" s="135"/>
      <c r="HK451" s="170"/>
      <c r="HL451" s="170"/>
      <c r="HM451" s="170"/>
      <c r="HN451" s="170"/>
      <c r="HO451" s="170"/>
      <c r="HP451" s="170"/>
      <c r="HQ451" s="170"/>
      <c r="HR451" s="170"/>
      <c r="HS451" s="170"/>
      <c r="HT451" s="170"/>
      <c r="HU451" s="170"/>
      <c r="HV451" s="170"/>
      <c r="HW451" s="170"/>
      <c r="HX451" s="170"/>
      <c r="HY451" s="170"/>
      <c r="HZ451" s="170"/>
      <c r="IA451" s="170"/>
      <c r="IB451" s="170"/>
      <c r="IG451" s="1"/>
      <c r="IH451" s="1"/>
      <c r="II451" s="1"/>
      <c r="IJ451" s="1"/>
      <c r="IK451" s="1"/>
      <c r="IL451" s="1"/>
      <c r="IM451" s="1"/>
      <c r="IN451" s="1"/>
      <c r="IO451" s="1"/>
      <c r="IP451" s="1"/>
      <c r="IQ451" s="1"/>
      <c r="IR451" s="1"/>
      <c r="IS451" s="1"/>
      <c r="IT451" s="1"/>
      <c r="IU451" s="1"/>
      <c r="IV451" s="1"/>
      <c r="IW451" s="1"/>
      <c r="IX451" s="1"/>
      <c r="IY451" s="1"/>
      <c r="IZ451" s="1"/>
      <c r="JA451" s="1"/>
      <c r="JB451" s="1"/>
      <c r="JC451" s="1"/>
      <c r="JD451" s="473"/>
    </row>
    <row r="452" spans="9:264">
      <c r="I452" s="35"/>
      <c r="J452" s="156" t="s">
        <v>1450</v>
      </c>
      <c r="K452" s="156" t="s">
        <v>1450</v>
      </c>
      <c r="L452" s="35">
        <v>12</v>
      </c>
      <c r="M452" s="35">
        <v>25</v>
      </c>
      <c r="N452" s="35">
        <v>24.1</v>
      </c>
      <c r="O452" s="35">
        <v>18</v>
      </c>
      <c r="P452" s="35">
        <v>11</v>
      </c>
      <c r="Q452" s="35">
        <v>28</v>
      </c>
      <c r="R452" s="22" t="s">
        <v>1451</v>
      </c>
      <c r="S452" s="22" t="s">
        <v>1452</v>
      </c>
      <c r="AJ452" s="175"/>
      <c r="AK452" s="175"/>
      <c r="AL452" s="175"/>
      <c r="AM452" s="175"/>
      <c r="AN452" s="175"/>
      <c r="AO452" s="175"/>
      <c r="AP452" s="175"/>
      <c r="AS452" s="3"/>
      <c r="BD452" s="97"/>
      <c r="EL452" s="3"/>
      <c r="EM452" s="3"/>
      <c r="FK452" s="135"/>
      <c r="FL452" s="135"/>
      <c r="FM452" s="135"/>
      <c r="FN452" s="135"/>
      <c r="FO452" s="135"/>
      <c r="FP452" s="135"/>
      <c r="FQ452" s="135"/>
      <c r="FR452" s="135"/>
      <c r="FS452" s="135"/>
      <c r="FT452" s="135"/>
      <c r="FU452" s="135"/>
      <c r="FV452" s="135"/>
      <c r="FW452" s="135"/>
      <c r="FX452" s="135"/>
      <c r="FY452" s="135"/>
      <c r="FZ452" s="135"/>
      <c r="GA452" s="135"/>
      <c r="GB452" s="135"/>
      <c r="GC452" s="135"/>
      <c r="GD452" s="135"/>
      <c r="GE452" s="135"/>
      <c r="GF452" s="135"/>
      <c r="GG452" s="135"/>
      <c r="GH452" s="135"/>
      <c r="GI452" s="135"/>
      <c r="GJ452" s="135"/>
      <c r="GK452" s="135"/>
      <c r="GL452" s="135"/>
      <c r="GM452" s="135"/>
      <c r="GN452" s="135"/>
      <c r="GO452" s="135"/>
      <c r="GP452" s="135"/>
      <c r="GQ452" s="135"/>
      <c r="GR452" s="135"/>
      <c r="GS452" s="135"/>
      <c r="GT452" s="135"/>
      <c r="GU452" s="135"/>
      <c r="GV452" s="135"/>
      <c r="GW452" s="135"/>
      <c r="GX452" s="135"/>
      <c r="GY452" s="135"/>
      <c r="GZ452" s="135"/>
      <c r="HA452" s="135"/>
      <c r="HB452" s="135"/>
      <c r="HC452" s="135"/>
      <c r="HD452" s="135"/>
      <c r="HE452" s="135"/>
      <c r="HF452" s="135"/>
      <c r="HG452" s="135"/>
      <c r="HH452" s="135"/>
      <c r="HI452" s="135"/>
      <c r="HJ452" s="135"/>
      <c r="HK452" s="135"/>
      <c r="HL452" s="135"/>
      <c r="HM452" s="135"/>
      <c r="HN452" s="135"/>
      <c r="HO452" s="135"/>
      <c r="HP452" s="135"/>
      <c r="HQ452" s="135"/>
      <c r="HR452" s="135"/>
      <c r="HS452" s="135"/>
      <c r="HT452" s="135"/>
      <c r="HU452" s="135"/>
      <c r="HV452" s="135"/>
      <c r="HW452" s="135"/>
      <c r="HX452" s="135"/>
      <c r="HY452" s="135"/>
      <c r="HZ452" s="135"/>
      <c r="IA452" s="135"/>
      <c r="IB452" s="135"/>
      <c r="IC452" s="135"/>
      <c r="ID452" s="135"/>
      <c r="IE452" s="135"/>
      <c r="IF452" s="135"/>
      <c r="IG452" s="473"/>
      <c r="IH452" s="473"/>
      <c r="II452" s="473"/>
      <c r="IJ452" s="473"/>
      <c r="IK452" s="473"/>
      <c r="IL452" s="473"/>
      <c r="IM452" s="473"/>
      <c r="IN452" s="473"/>
      <c r="IO452" s="473"/>
      <c r="IP452" s="473"/>
      <c r="IQ452" s="473"/>
      <c r="IR452" s="473"/>
      <c r="IS452" s="473"/>
      <c r="IT452" s="473"/>
      <c r="IU452" s="473"/>
      <c r="IV452" s="473"/>
      <c r="IW452" s="473"/>
      <c r="IX452" s="473"/>
      <c r="IY452" s="473"/>
      <c r="IZ452" s="473"/>
      <c r="JA452" s="473"/>
      <c r="JB452" s="473"/>
      <c r="JC452" s="473"/>
      <c r="JD452" s="473"/>
    </row>
    <row r="453" spans="9:264">
      <c r="I453" s="35"/>
      <c r="J453" s="156" t="s">
        <v>1453</v>
      </c>
      <c r="K453" s="156" t="s">
        <v>1453</v>
      </c>
      <c r="L453" s="35">
        <v>12</v>
      </c>
      <c r="M453" s="35">
        <v>26</v>
      </c>
      <c r="N453" s="35">
        <v>11.8</v>
      </c>
      <c r="O453" s="35">
        <v>12</v>
      </c>
      <c r="P453" s="35">
        <v>56</v>
      </c>
      <c r="Q453" s="35">
        <v>45</v>
      </c>
      <c r="R453" s="22" t="s">
        <v>1454</v>
      </c>
      <c r="S453" s="22" t="s">
        <v>1455</v>
      </c>
      <c r="AJ453" s="175"/>
      <c r="AK453" s="175"/>
      <c r="AL453" s="175"/>
      <c r="AM453" s="175"/>
      <c r="AN453" s="175"/>
      <c r="AO453" s="175"/>
      <c r="AP453" s="175"/>
      <c r="AS453" s="3"/>
      <c r="BD453" s="97"/>
      <c r="EL453" s="3"/>
      <c r="EM453" s="3"/>
    </row>
    <row r="454" spans="9:264">
      <c r="I454" s="35"/>
      <c r="J454" s="156" t="s">
        <v>1456</v>
      </c>
      <c r="K454" s="156" t="s">
        <v>1456</v>
      </c>
      <c r="L454" s="35">
        <v>12</v>
      </c>
      <c r="M454" s="35">
        <v>30</v>
      </c>
      <c r="N454" s="35">
        <v>49.4</v>
      </c>
      <c r="O454" s="35">
        <v>12</v>
      </c>
      <c r="P454" s="35">
        <v>23</v>
      </c>
      <c r="Q454" s="35">
        <v>28</v>
      </c>
      <c r="R454" s="22" t="s">
        <v>1457</v>
      </c>
      <c r="S454" s="22" t="s">
        <v>1458</v>
      </c>
      <c r="AJ454" s="175"/>
      <c r="AK454" s="175"/>
      <c r="AL454" s="175"/>
      <c r="AM454" s="175"/>
      <c r="AN454" s="175"/>
      <c r="AO454" s="175"/>
      <c r="AP454" s="175"/>
      <c r="AS454" s="3"/>
      <c r="BD454" s="97"/>
      <c r="EL454" s="3"/>
      <c r="EM454" s="3"/>
    </row>
    <row r="455" spans="9:264">
      <c r="I455" s="35"/>
      <c r="J455" s="156" t="s">
        <v>1459</v>
      </c>
      <c r="K455" s="156" t="s">
        <v>1459</v>
      </c>
      <c r="L455" s="35">
        <v>12</v>
      </c>
      <c r="M455" s="35">
        <v>31</v>
      </c>
      <c r="N455" s="35">
        <v>59.2</v>
      </c>
      <c r="O455" s="35">
        <v>14</v>
      </c>
      <c r="P455" s="35">
        <v>25</v>
      </c>
      <c r="Q455" s="35">
        <v>13</v>
      </c>
      <c r="R455" s="22" t="s">
        <v>1460</v>
      </c>
      <c r="S455" s="22" t="s">
        <v>1461</v>
      </c>
      <c r="AJ455" s="175"/>
      <c r="AK455" s="175"/>
      <c r="AL455" s="175"/>
      <c r="AM455" s="175"/>
      <c r="AN455" s="175"/>
      <c r="AO455" s="175"/>
      <c r="AP455" s="175"/>
      <c r="AS455" s="3"/>
      <c r="BD455" s="97"/>
      <c r="EL455" s="3"/>
      <c r="EM455" s="3"/>
    </row>
    <row r="456" spans="9:264">
      <c r="I456" s="35"/>
      <c r="J456" s="156" t="s">
        <v>1462</v>
      </c>
      <c r="K456" s="156" t="s">
        <v>1462</v>
      </c>
      <c r="L456" s="35">
        <v>12</v>
      </c>
      <c r="M456" s="35">
        <v>35</v>
      </c>
      <c r="N456" s="35">
        <v>39.799999999999997</v>
      </c>
      <c r="O456" s="35">
        <v>12</v>
      </c>
      <c r="P456" s="35">
        <v>33</v>
      </c>
      <c r="Q456" s="35">
        <v>23</v>
      </c>
      <c r="R456" s="22" t="s">
        <v>1463</v>
      </c>
      <c r="S456" s="22" t="s">
        <v>1464</v>
      </c>
      <c r="AJ456" s="175"/>
      <c r="AK456" s="175"/>
      <c r="AL456" s="175"/>
      <c r="AM456" s="175"/>
      <c r="AN456" s="175"/>
      <c r="AO456" s="175"/>
      <c r="AP456" s="175"/>
      <c r="AS456" s="3"/>
      <c r="BD456" s="97"/>
      <c r="EL456" s="3"/>
      <c r="EM456" s="3"/>
    </row>
    <row r="457" spans="9:264">
      <c r="I457" s="35"/>
      <c r="J457" s="156" t="s">
        <v>1465</v>
      </c>
      <c r="K457" s="156" t="s">
        <v>1465</v>
      </c>
      <c r="L457" s="35">
        <v>12</v>
      </c>
      <c r="M457" s="35">
        <v>36</v>
      </c>
      <c r="N457" s="35">
        <v>49.8</v>
      </c>
      <c r="O457" s="35">
        <v>13</v>
      </c>
      <c r="P457" s="35">
        <v>9</v>
      </c>
      <c r="Q457" s="35">
        <v>46</v>
      </c>
      <c r="R457" s="22" t="s">
        <v>1466</v>
      </c>
      <c r="S457" s="22" t="s">
        <v>1467</v>
      </c>
      <c r="AJ457" s="175"/>
      <c r="AK457" s="175"/>
      <c r="AL457" s="175"/>
      <c r="AM457" s="175"/>
      <c r="AN457" s="175"/>
      <c r="AO457" s="175"/>
      <c r="AP457" s="175"/>
      <c r="AS457" s="3"/>
      <c r="BD457" s="97"/>
      <c r="EL457" s="3"/>
      <c r="EM457" s="3"/>
    </row>
    <row r="458" spans="9:264">
      <c r="I458" s="35"/>
      <c r="J458" s="156" t="s">
        <v>1468</v>
      </c>
      <c r="K458" s="156" t="s">
        <v>1468</v>
      </c>
      <c r="L458" s="35">
        <v>12</v>
      </c>
      <c r="M458" s="35">
        <v>35</v>
      </c>
      <c r="N458" s="35">
        <v>26.4</v>
      </c>
      <c r="O458" s="35">
        <v>14</v>
      </c>
      <c r="P458" s="35">
        <v>29</v>
      </c>
      <c r="Q458" s="35">
        <v>47</v>
      </c>
      <c r="R458" s="22" t="s">
        <v>1469</v>
      </c>
      <c r="S458" s="22" t="s">
        <v>1470</v>
      </c>
      <c r="AJ458" s="175"/>
      <c r="AK458" s="175"/>
      <c r="AL458" s="175"/>
      <c r="AM458" s="175"/>
      <c r="AN458" s="175"/>
      <c r="AO458" s="175"/>
      <c r="AP458" s="175"/>
      <c r="AS458" s="3"/>
      <c r="BD458" s="97"/>
      <c r="EL458" s="3"/>
      <c r="EM458" s="3"/>
    </row>
    <row r="459" spans="9:264">
      <c r="I459" s="35"/>
      <c r="J459" s="156" t="s">
        <v>1471</v>
      </c>
      <c r="K459" s="156" t="s">
        <v>1471</v>
      </c>
      <c r="L459" s="35">
        <v>17</v>
      </c>
      <c r="M459" s="35">
        <v>17</v>
      </c>
      <c r="N459" s="35">
        <v>7.4</v>
      </c>
      <c r="O459" s="35">
        <v>43</v>
      </c>
      <c r="P459" s="35">
        <v>8</v>
      </c>
      <c r="Q459" s="35">
        <v>9</v>
      </c>
      <c r="R459" s="22" t="s">
        <v>1472</v>
      </c>
      <c r="S459" s="22" t="s">
        <v>1473</v>
      </c>
      <c r="AJ459" s="175"/>
      <c r="AK459" s="175"/>
      <c r="AL459" s="175"/>
      <c r="AM459" s="175"/>
      <c r="AN459" s="175"/>
      <c r="AO459" s="175"/>
      <c r="AP459" s="175"/>
      <c r="AS459" s="3"/>
      <c r="BD459" s="97"/>
      <c r="EL459" s="3"/>
      <c r="EM459" s="3"/>
    </row>
    <row r="460" spans="9:264">
      <c r="I460" s="35"/>
      <c r="J460" s="156" t="s">
        <v>1474</v>
      </c>
      <c r="K460" s="156" t="s">
        <v>1474</v>
      </c>
      <c r="L460" s="35">
        <v>7</v>
      </c>
      <c r="M460" s="35">
        <v>44</v>
      </c>
      <c r="N460" s="35">
        <v>30</v>
      </c>
      <c r="O460" s="35">
        <v>-23</v>
      </c>
      <c r="P460" s="35">
        <v>-51</v>
      </c>
      <c r="Q460" s="35">
        <v>-2</v>
      </c>
      <c r="R460" s="22" t="s">
        <v>1475</v>
      </c>
      <c r="S460" s="22" t="s">
        <v>1476</v>
      </c>
      <c r="AJ460" s="175"/>
      <c r="AK460" s="175"/>
      <c r="AL460" s="175"/>
      <c r="AM460" s="175"/>
      <c r="AN460" s="175"/>
      <c r="AO460" s="175"/>
      <c r="AP460" s="175"/>
      <c r="AS460" s="3"/>
      <c r="BD460" s="97"/>
      <c r="EL460" s="3"/>
      <c r="EM460" s="3"/>
    </row>
    <row r="461" spans="9:264">
      <c r="I461" s="35"/>
      <c r="J461" s="156" t="s">
        <v>1477</v>
      </c>
      <c r="K461" s="156" t="s">
        <v>1477</v>
      </c>
      <c r="L461" s="35">
        <v>12</v>
      </c>
      <c r="M461" s="35">
        <v>50</v>
      </c>
      <c r="N461" s="35">
        <v>53.1</v>
      </c>
      <c r="O461" s="35">
        <v>41</v>
      </c>
      <c r="P461" s="35">
        <v>7</v>
      </c>
      <c r="Q461" s="35">
        <v>13</v>
      </c>
      <c r="R461" s="22" t="s">
        <v>1478</v>
      </c>
      <c r="S461" s="22" t="s">
        <v>1479</v>
      </c>
      <c r="AJ461" s="175"/>
      <c r="AK461" s="175"/>
      <c r="AL461" s="175"/>
      <c r="AM461" s="175"/>
      <c r="AN461" s="175"/>
      <c r="AO461" s="175"/>
      <c r="AP461" s="175"/>
      <c r="AS461" s="3"/>
      <c r="BD461" s="97"/>
      <c r="EL461" s="3"/>
      <c r="EM461" s="3"/>
    </row>
    <row r="462" spans="9:264">
      <c r="I462" s="35"/>
      <c r="J462" s="156" t="s">
        <v>1480</v>
      </c>
      <c r="K462" s="156" t="s">
        <v>1480</v>
      </c>
      <c r="L462" s="35">
        <v>10</v>
      </c>
      <c r="M462" s="35">
        <v>43</v>
      </c>
      <c r="N462" s="35">
        <v>57.7</v>
      </c>
      <c r="O462" s="35">
        <v>11</v>
      </c>
      <c r="P462" s="35">
        <v>42</v>
      </c>
      <c r="Q462" s="35">
        <v>13</v>
      </c>
      <c r="R462" s="22" t="s">
        <v>1481</v>
      </c>
      <c r="S462" s="22" t="s">
        <v>1482</v>
      </c>
      <c r="AJ462" s="175"/>
      <c r="AK462" s="175"/>
      <c r="AL462" s="175"/>
      <c r="AM462" s="175"/>
      <c r="AN462" s="175"/>
      <c r="AO462" s="175"/>
      <c r="AP462" s="175"/>
      <c r="AS462" s="3"/>
      <c r="BD462" s="97"/>
      <c r="EL462" s="3"/>
      <c r="EM462" s="3"/>
    </row>
    <row r="463" spans="9:264">
      <c r="I463" s="35"/>
      <c r="J463" s="156" t="s">
        <v>1483</v>
      </c>
      <c r="K463" s="156" t="s">
        <v>1483</v>
      </c>
      <c r="L463" s="35">
        <v>10</v>
      </c>
      <c r="M463" s="35">
        <v>46</v>
      </c>
      <c r="N463" s="35">
        <v>45.8</v>
      </c>
      <c r="O463" s="35">
        <v>11</v>
      </c>
      <c r="P463" s="35">
        <v>49</v>
      </c>
      <c r="Q463" s="35">
        <v>12</v>
      </c>
      <c r="R463" s="22" t="s">
        <v>1484</v>
      </c>
      <c r="S463" s="22" t="s">
        <v>1485</v>
      </c>
      <c r="AJ463" s="175"/>
      <c r="AK463" s="175"/>
      <c r="AL463" s="175"/>
      <c r="AM463" s="175"/>
      <c r="AN463" s="175"/>
      <c r="AO463" s="175"/>
      <c r="AP463" s="175"/>
      <c r="AS463" s="3"/>
      <c r="BD463" s="97"/>
      <c r="EL463" s="3"/>
      <c r="EM463" s="3"/>
    </row>
    <row r="464" spans="9:264">
      <c r="I464" s="35"/>
      <c r="J464" s="156" t="s">
        <v>1486</v>
      </c>
      <c r="K464" s="156" t="s">
        <v>1486</v>
      </c>
      <c r="L464" s="35">
        <v>11</v>
      </c>
      <c r="M464" s="35">
        <v>14</v>
      </c>
      <c r="N464" s="35">
        <v>47.7</v>
      </c>
      <c r="O464" s="35">
        <v>55</v>
      </c>
      <c r="P464" s="35">
        <v>1</v>
      </c>
      <c r="Q464" s="35">
        <v>9</v>
      </c>
      <c r="R464" s="22" t="s">
        <v>1487</v>
      </c>
      <c r="S464" s="22" t="s">
        <v>1488</v>
      </c>
      <c r="AJ464" s="175"/>
      <c r="AK464" s="175"/>
      <c r="AL464" s="175"/>
      <c r="AM464" s="175"/>
      <c r="AN464" s="175"/>
      <c r="AO464" s="175"/>
      <c r="AP464" s="175"/>
      <c r="AS464" s="3"/>
      <c r="BD464" s="97"/>
      <c r="EL464" s="3"/>
      <c r="EM464" s="3"/>
    </row>
    <row r="465" spans="9:143">
      <c r="I465" s="35"/>
      <c r="J465" s="156" t="s">
        <v>1489</v>
      </c>
      <c r="K465" s="156" t="s">
        <v>1489</v>
      </c>
      <c r="L465" s="35">
        <v>12</v>
      </c>
      <c r="M465" s="35">
        <v>13</v>
      </c>
      <c r="N465" s="35">
        <v>48.3</v>
      </c>
      <c r="O465" s="35">
        <v>14</v>
      </c>
      <c r="P465" s="35">
        <v>54</v>
      </c>
      <c r="Q465" s="35">
        <v>2</v>
      </c>
      <c r="R465" s="22" t="s">
        <v>1490</v>
      </c>
      <c r="S465" s="22" t="s">
        <v>1491</v>
      </c>
      <c r="AJ465" s="175"/>
      <c r="AK465" s="175"/>
      <c r="AL465" s="175"/>
      <c r="AM465" s="175"/>
      <c r="AN465" s="175"/>
      <c r="AO465" s="175"/>
      <c r="AP465" s="175"/>
      <c r="AS465" s="3"/>
      <c r="BD465" s="97"/>
      <c r="EL465" s="3"/>
      <c r="EM465" s="3"/>
    </row>
    <row r="466" spans="9:143">
      <c r="I466" s="35"/>
      <c r="J466" s="156" t="s">
        <v>1492</v>
      </c>
      <c r="K466" s="156" t="s">
        <v>1492</v>
      </c>
      <c r="L466" s="35">
        <v>12</v>
      </c>
      <c r="M466" s="35">
        <v>18</v>
      </c>
      <c r="N466" s="35">
        <v>49.6</v>
      </c>
      <c r="O466" s="35">
        <v>14</v>
      </c>
      <c r="P466" s="35">
        <v>24</v>
      </c>
      <c r="Q466" s="35">
        <v>59</v>
      </c>
      <c r="R466" s="22" t="s">
        <v>1493</v>
      </c>
      <c r="S466" s="22" t="s">
        <v>1494</v>
      </c>
      <c r="AJ466" s="175"/>
      <c r="AK466" s="175"/>
      <c r="AL466" s="175"/>
      <c r="AM466" s="175"/>
      <c r="AN466" s="175"/>
      <c r="AO466" s="175"/>
      <c r="AP466" s="175"/>
      <c r="AS466" s="3"/>
      <c r="BD466" s="97"/>
      <c r="EL466" s="3"/>
      <c r="EM466" s="3"/>
    </row>
    <row r="467" spans="9:143">
      <c r="I467" s="35"/>
      <c r="J467" s="156" t="s">
        <v>1495</v>
      </c>
      <c r="K467" s="156" t="s">
        <v>1495</v>
      </c>
      <c r="L467" s="35">
        <v>12</v>
      </c>
      <c r="M467" s="35">
        <v>22</v>
      </c>
      <c r="N467" s="35">
        <v>54.9</v>
      </c>
      <c r="O467" s="35">
        <v>15</v>
      </c>
      <c r="P467" s="35">
        <v>49</v>
      </c>
      <c r="Q467" s="35">
        <v>21</v>
      </c>
      <c r="R467" s="22" t="s">
        <v>1496</v>
      </c>
      <c r="S467" s="22" t="s">
        <v>1497</v>
      </c>
      <c r="AJ467" s="175"/>
      <c r="AK467" s="175"/>
      <c r="AL467" s="175"/>
      <c r="AM467" s="175"/>
      <c r="AN467" s="175"/>
      <c r="AO467" s="175"/>
      <c r="AP467" s="175"/>
      <c r="AS467" s="3"/>
      <c r="BD467" s="97"/>
      <c r="EL467" s="3"/>
      <c r="EM467" s="3"/>
    </row>
    <row r="468" spans="9:143">
      <c r="I468" s="35"/>
      <c r="J468" s="156" t="s">
        <v>1498</v>
      </c>
      <c r="K468" s="156" t="s">
        <v>1498</v>
      </c>
      <c r="L468" s="35">
        <v>14</v>
      </c>
      <c r="M468" s="35">
        <v>3</v>
      </c>
      <c r="N468" s="35">
        <v>12.6</v>
      </c>
      <c r="O468" s="35">
        <v>54</v>
      </c>
      <c r="P468" s="35">
        <v>20</v>
      </c>
      <c r="Q468" s="35">
        <v>55</v>
      </c>
      <c r="R468" s="22" t="s">
        <v>1499</v>
      </c>
      <c r="S468" s="22" t="s">
        <v>1500</v>
      </c>
      <c r="AJ468" s="175"/>
      <c r="AK468" s="175"/>
      <c r="AL468" s="175"/>
      <c r="AM468" s="175"/>
      <c r="AN468" s="175"/>
      <c r="AO468" s="175"/>
      <c r="AP468" s="175"/>
      <c r="AS468" s="3"/>
      <c r="BD468" s="97"/>
      <c r="EL468" s="3"/>
      <c r="EM468" s="3"/>
    </row>
    <row r="469" spans="9:143">
      <c r="I469" s="35"/>
      <c r="J469" s="156" t="s">
        <v>1501</v>
      </c>
      <c r="K469" s="156" t="s">
        <v>1501</v>
      </c>
      <c r="L469" s="35">
        <v>15</v>
      </c>
      <c r="M469" s="35">
        <v>6</v>
      </c>
      <c r="N469" s="35">
        <v>29.6</v>
      </c>
      <c r="O469" s="35">
        <v>55</v>
      </c>
      <c r="P469" s="35">
        <v>45</v>
      </c>
      <c r="Q469" s="35">
        <v>48</v>
      </c>
      <c r="R469" s="22" t="s">
        <v>1502</v>
      </c>
      <c r="S469" s="22" t="s">
        <v>1503</v>
      </c>
      <c r="AJ469" s="175"/>
      <c r="AK469" s="175"/>
      <c r="AL469" s="175"/>
      <c r="AM469" s="175"/>
      <c r="AN469" s="175"/>
      <c r="AO469" s="175"/>
      <c r="AP469" s="175"/>
      <c r="AS469" s="3"/>
      <c r="BD469" s="97"/>
      <c r="EL469" s="3"/>
      <c r="EM469" s="3"/>
    </row>
    <row r="470" spans="9:143">
      <c r="I470" s="35"/>
      <c r="J470" s="156" t="s">
        <v>1504</v>
      </c>
      <c r="K470" s="156" t="s">
        <v>1504</v>
      </c>
      <c r="L470" s="35">
        <v>1</v>
      </c>
      <c r="M470" s="35">
        <v>33</v>
      </c>
      <c r="N470" s="35">
        <v>23</v>
      </c>
      <c r="O470" s="35">
        <v>60</v>
      </c>
      <c r="P470" s="35">
        <v>39</v>
      </c>
      <c r="Q470" s="35">
        <v>0</v>
      </c>
      <c r="R470" s="22" t="s">
        <v>1505</v>
      </c>
      <c r="S470" s="22" t="s">
        <v>1506</v>
      </c>
      <c r="AJ470" s="175"/>
      <c r="AK470" s="175"/>
      <c r="AL470" s="175"/>
      <c r="AM470" s="175"/>
      <c r="AN470" s="175"/>
      <c r="AO470" s="175"/>
      <c r="AP470" s="175"/>
      <c r="AS470" s="3"/>
      <c r="BD470" s="97"/>
      <c r="EL470" s="3"/>
      <c r="EM470" s="3"/>
    </row>
    <row r="471" spans="9:143">
      <c r="I471" s="35"/>
      <c r="J471" s="156" t="s">
        <v>1507</v>
      </c>
      <c r="K471" s="156" t="s">
        <v>1507</v>
      </c>
      <c r="L471" s="35">
        <v>12</v>
      </c>
      <c r="M471" s="35">
        <v>39</v>
      </c>
      <c r="N471" s="35">
        <v>59.4</v>
      </c>
      <c r="O471" s="35">
        <v>-11</v>
      </c>
      <c r="P471" s="35">
        <v>-37</v>
      </c>
      <c r="Q471" s="35">
        <v>-23</v>
      </c>
      <c r="R471" s="22" t="s">
        <v>1508</v>
      </c>
      <c r="S471" s="22" t="s">
        <v>1509</v>
      </c>
      <c r="AJ471" s="175"/>
      <c r="AK471" s="175"/>
      <c r="AL471" s="175"/>
      <c r="AM471" s="175"/>
      <c r="AN471" s="175"/>
      <c r="AO471" s="175"/>
      <c r="AP471" s="175"/>
      <c r="AS471" s="3"/>
      <c r="BD471" s="97"/>
      <c r="EL471" s="3"/>
      <c r="EM471" s="3"/>
    </row>
    <row r="472" spans="9:143">
      <c r="I472" s="35"/>
      <c r="J472" s="156" t="s">
        <v>1510</v>
      </c>
      <c r="K472" s="156" t="s">
        <v>1510</v>
      </c>
      <c r="L472" s="35">
        <v>10</v>
      </c>
      <c r="M472" s="35">
        <v>47</v>
      </c>
      <c r="N472" s="35">
        <v>49.6</v>
      </c>
      <c r="O472" s="35">
        <v>12</v>
      </c>
      <c r="P472" s="35">
        <v>34</v>
      </c>
      <c r="Q472" s="35">
        <v>54</v>
      </c>
      <c r="R472" s="22" t="s">
        <v>1511</v>
      </c>
      <c r="S472" s="22" t="s">
        <v>1512</v>
      </c>
      <c r="AJ472" s="175"/>
      <c r="AK472" s="175"/>
      <c r="AL472" s="175"/>
      <c r="AM472" s="175"/>
      <c r="AN472" s="175"/>
      <c r="AO472" s="175"/>
      <c r="AP472" s="175"/>
      <c r="AS472" s="3"/>
      <c r="BD472" s="97"/>
      <c r="EL472" s="3"/>
      <c r="EM472" s="3"/>
    </row>
    <row r="473" spans="9:143">
      <c r="I473" s="35"/>
      <c r="J473" s="156" t="s">
        <v>1513</v>
      </c>
      <c r="K473" s="156" t="s">
        <v>1513</v>
      </c>
      <c r="L473" s="35">
        <v>12</v>
      </c>
      <c r="M473" s="35">
        <v>18</v>
      </c>
      <c r="N473" s="35">
        <v>57.6</v>
      </c>
      <c r="O473" s="35">
        <v>47</v>
      </c>
      <c r="P473" s="35">
        <v>18</v>
      </c>
      <c r="Q473" s="35">
        <v>13</v>
      </c>
      <c r="R473" s="22" t="s">
        <v>1514</v>
      </c>
      <c r="S473" s="22" t="s">
        <v>1515</v>
      </c>
      <c r="AJ473" s="175"/>
      <c r="AK473" s="175"/>
      <c r="AL473" s="175"/>
      <c r="AM473" s="175"/>
      <c r="AN473" s="175"/>
      <c r="AO473" s="175"/>
      <c r="AP473" s="175"/>
      <c r="AS473" s="3"/>
      <c r="BD473" s="97"/>
      <c r="EL473" s="3"/>
      <c r="EM473" s="3"/>
    </row>
    <row r="474" spans="9:143">
      <c r="I474" s="35"/>
      <c r="J474" s="156" t="s">
        <v>1516</v>
      </c>
      <c r="K474" s="156" t="s">
        <v>1516</v>
      </c>
      <c r="L474" s="35">
        <v>16</v>
      </c>
      <c r="M474" s="35">
        <v>32</v>
      </c>
      <c r="N474" s="35">
        <v>31.9</v>
      </c>
      <c r="O474" s="35">
        <v>-13</v>
      </c>
      <c r="P474" s="35">
        <v>-3</v>
      </c>
      <c r="Q474" s="35">
        <v>-14</v>
      </c>
      <c r="R474" s="22" t="s">
        <v>1517</v>
      </c>
      <c r="S474" s="22" t="s">
        <v>1518</v>
      </c>
      <c r="AJ474" s="175"/>
      <c r="AK474" s="175"/>
      <c r="AL474" s="175"/>
      <c r="AM474" s="175"/>
      <c r="AN474" s="175"/>
      <c r="AO474" s="175"/>
      <c r="AP474" s="175"/>
      <c r="AS474" s="3"/>
      <c r="BD474" s="97"/>
      <c r="EL474" s="3"/>
      <c r="EM474" s="3"/>
    </row>
    <row r="475" spans="9:143">
      <c r="I475" s="35"/>
      <c r="J475" s="156" t="s">
        <v>1519</v>
      </c>
      <c r="K475" s="156" t="s">
        <v>1519</v>
      </c>
      <c r="L475" s="35">
        <v>11</v>
      </c>
      <c r="M475" s="35">
        <v>11</v>
      </c>
      <c r="N475" s="35">
        <v>31</v>
      </c>
      <c r="O475" s="35">
        <v>55</v>
      </c>
      <c r="P475" s="35">
        <v>40</v>
      </c>
      <c r="Q475" s="35">
        <v>27</v>
      </c>
      <c r="R475" s="22" t="s">
        <v>1520</v>
      </c>
      <c r="S475" s="22" t="s">
        <v>1521</v>
      </c>
      <c r="AJ475" s="175"/>
      <c r="AK475" s="175"/>
      <c r="AL475" s="175"/>
      <c r="AM475" s="175"/>
      <c r="AN475" s="175"/>
      <c r="AO475" s="175"/>
      <c r="AP475" s="175"/>
      <c r="AS475" s="3"/>
      <c r="BD475" s="97"/>
      <c r="EL475" s="3"/>
      <c r="EM475" s="3"/>
    </row>
    <row r="476" spans="9:143">
      <c r="I476" s="35"/>
      <c r="J476" s="156" t="s">
        <v>1522</v>
      </c>
      <c r="K476" s="156" t="s">
        <v>1522</v>
      </c>
      <c r="L476" s="35">
        <v>11</v>
      </c>
      <c r="M476" s="35">
        <v>57</v>
      </c>
      <c r="N476" s="35">
        <v>36</v>
      </c>
      <c r="O476" s="35">
        <v>53</v>
      </c>
      <c r="P476" s="35">
        <v>22</v>
      </c>
      <c r="Q476" s="35">
        <v>28</v>
      </c>
      <c r="R476" s="22" t="s">
        <v>1523</v>
      </c>
      <c r="S476" s="22" t="s">
        <v>1524</v>
      </c>
      <c r="AJ476" s="175"/>
      <c r="AK476" s="175"/>
      <c r="AL476" s="175"/>
      <c r="AM476" s="175"/>
      <c r="AN476" s="175"/>
      <c r="AO476" s="175"/>
      <c r="AP476" s="175"/>
      <c r="AS476" s="3"/>
      <c r="BD476" s="97"/>
      <c r="EL476" s="3"/>
      <c r="EM476" s="3"/>
    </row>
    <row r="477" spans="9:143">
      <c r="I477" s="24" t="s">
        <v>1525</v>
      </c>
      <c r="J477" s="157" t="s">
        <v>1526</v>
      </c>
      <c r="K477" s="157" t="s">
        <v>1526</v>
      </c>
      <c r="L477" s="24" t="s">
        <v>39</v>
      </c>
      <c r="M477" s="24" t="s">
        <v>1525</v>
      </c>
      <c r="N477" s="24" t="s">
        <v>1525</v>
      </c>
      <c r="O477" s="24" t="s">
        <v>40</v>
      </c>
      <c r="P477" s="24" t="s">
        <v>1527</v>
      </c>
      <c r="Q477" s="24" t="s">
        <v>1528</v>
      </c>
      <c r="R477" s="24" t="s">
        <v>1529</v>
      </c>
      <c r="S477" s="24" t="s">
        <v>1527</v>
      </c>
      <c r="AJ477" s="175"/>
      <c r="AK477" s="175"/>
      <c r="AL477" s="175"/>
      <c r="AM477" s="175"/>
      <c r="AN477" s="175"/>
      <c r="AO477" s="175"/>
      <c r="AP477" s="175"/>
      <c r="AS477" s="3"/>
      <c r="BD477" s="97"/>
      <c r="EL477" s="3"/>
      <c r="EM477" s="3"/>
    </row>
    <row r="478" spans="9:143">
      <c r="I478" s="24" t="s">
        <v>1530</v>
      </c>
      <c r="J478" s="157" t="s">
        <v>1531</v>
      </c>
      <c r="K478" s="157" t="s">
        <v>1531</v>
      </c>
      <c r="L478" s="24" t="s">
        <v>39</v>
      </c>
      <c r="M478" s="24" t="s">
        <v>1530</v>
      </c>
      <c r="N478" s="24" t="s">
        <v>1530</v>
      </c>
      <c r="O478" s="24" t="s">
        <v>40</v>
      </c>
      <c r="P478" s="24" t="s">
        <v>1532</v>
      </c>
      <c r="Q478" s="24" t="s">
        <v>1533</v>
      </c>
      <c r="R478" s="24" t="s">
        <v>1534</v>
      </c>
      <c r="S478" s="24" t="s">
        <v>1532</v>
      </c>
      <c r="V478" s="5"/>
      <c r="W478" s="5"/>
      <c r="X478" s="283" t="s">
        <v>3101</v>
      </c>
      <c r="Y478" s="5"/>
      <c r="Z478" s="342"/>
      <c r="AA478" s="5"/>
      <c r="AB478" s="5"/>
      <c r="AC478" s="5"/>
      <c r="AD478" s="5"/>
      <c r="AE478" s="5"/>
      <c r="AF478" s="5"/>
      <c r="AG478" s="5"/>
      <c r="AJ478" s="175"/>
      <c r="AK478" s="175"/>
      <c r="AL478" s="175"/>
      <c r="AM478" s="175"/>
      <c r="AN478" s="175"/>
      <c r="AO478" s="175"/>
      <c r="AP478" s="175"/>
      <c r="AS478" s="3"/>
      <c r="BD478" s="97"/>
      <c r="EL478" s="3"/>
      <c r="EM478" s="3"/>
    </row>
    <row r="479" spans="9:143">
      <c r="I479" s="22"/>
      <c r="J479" s="156" t="s">
        <v>1535</v>
      </c>
      <c r="K479" s="156" t="s">
        <v>1535</v>
      </c>
      <c r="L479" s="22">
        <v>7</v>
      </c>
      <c r="M479" s="22">
        <v>41</v>
      </c>
      <c r="N479" s="22">
        <v>14.8</v>
      </c>
      <c r="O479" s="22">
        <v>-9</v>
      </c>
      <c r="P479" s="22">
        <v>-33</v>
      </c>
      <c r="Q479" s="22">
        <v>-4</v>
      </c>
      <c r="R479" s="22" t="s">
        <v>1536</v>
      </c>
      <c r="S479" s="22" t="s">
        <v>1537</v>
      </c>
      <c r="AI479" s="5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BD479" s="97"/>
      <c r="EL479" s="3"/>
      <c r="EM479" s="3"/>
    </row>
    <row r="480" spans="9:143">
      <c r="I480" s="22"/>
      <c r="J480" s="156" t="s">
        <v>1538</v>
      </c>
      <c r="K480" s="156" t="s">
        <v>1538</v>
      </c>
      <c r="L480" s="22">
        <v>6</v>
      </c>
      <c r="M480" s="22">
        <v>28</v>
      </c>
      <c r="N480" s="22">
        <v>49.1</v>
      </c>
      <c r="O480" s="22">
        <v>-7</v>
      </c>
      <c r="P480" s="22">
        <v>-2</v>
      </c>
      <c r="Q480" s="22">
        <v>-4</v>
      </c>
      <c r="R480" s="22" t="s">
        <v>1539</v>
      </c>
      <c r="S480" s="22" t="s">
        <v>1540</v>
      </c>
      <c r="AJ480" s="175"/>
      <c r="AK480" s="175"/>
      <c r="AL480" s="175"/>
      <c r="AM480" s="175"/>
      <c r="AN480" s="175"/>
      <c r="AO480" s="175"/>
      <c r="AP480" s="175"/>
      <c r="AS480" s="3"/>
      <c r="BD480" s="97"/>
      <c r="EL480" s="3"/>
      <c r="EM480" s="3"/>
    </row>
    <row r="481" spans="9:143">
      <c r="I481" s="22"/>
      <c r="J481" s="156" t="s">
        <v>1541</v>
      </c>
      <c r="K481" s="156" t="s">
        <v>1541</v>
      </c>
      <c r="L481" s="22">
        <v>6</v>
      </c>
      <c r="M481" s="22">
        <v>14</v>
      </c>
      <c r="N481" s="22">
        <v>51.3</v>
      </c>
      <c r="O481" s="22">
        <v>-6</v>
      </c>
      <c r="P481" s="22">
        <v>-16</v>
      </c>
      <c r="Q481" s="22">
        <v>-29</v>
      </c>
      <c r="R481" s="22" t="s">
        <v>1542</v>
      </c>
      <c r="S481" s="22" t="s">
        <v>1543</v>
      </c>
      <c r="AJ481" s="175"/>
      <c r="AK481" s="175"/>
      <c r="AL481" s="175"/>
      <c r="AM481" s="175"/>
      <c r="AN481" s="175"/>
      <c r="AO481" s="175"/>
      <c r="AP481" s="175"/>
      <c r="AS481" s="3"/>
      <c r="BD481" s="97"/>
      <c r="EL481" s="3"/>
      <c r="EM481" s="3"/>
    </row>
    <row r="482" spans="9:143">
      <c r="I482" s="22"/>
      <c r="J482" s="156" t="s">
        <v>1544</v>
      </c>
      <c r="K482" s="156" t="s">
        <v>1544</v>
      </c>
      <c r="L482" s="22">
        <v>7</v>
      </c>
      <c r="M482" s="22">
        <v>11</v>
      </c>
      <c r="N482" s="22">
        <v>51.9</v>
      </c>
      <c r="O482" s="22">
        <v>0</v>
      </c>
      <c r="P482" s="22">
        <v>-29</v>
      </c>
      <c r="Q482" s="22">
        <v>-34</v>
      </c>
      <c r="R482" s="22" t="s">
        <v>1545</v>
      </c>
      <c r="S482" s="22" t="s">
        <v>1546</v>
      </c>
      <c r="AJ482" s="175"/>
      <c r="AK482" s="175"/>
      <c r="AL482" s="175"/>
      <c r="AM482" s="175"/>
      <c r="AN482" s="175"/>
      <c r="AO482" s="175"/>
      <c r="AP482" s="175"/>
      <c r="AS482" s="3"/>
      <c r="BD482" s="97"/>
      <c r="EL482" s="3"/>
      <c r="EM482" s="3"/>
    </row>
    <row r="483" spans="9:143">
      <c r="I483" s="22"/>
      <c r="J483" s="156" t="s">
        <v>1547</v>
      </c>
      <c r="K483" s="156" t="s">
        <v>1547</v>
      </c>
      <c r="L483" s="22">
        <v>6</v>
      </c>
      <c r="M483" s="22">
        <v>23</v>
      </c>
      <c r="N483" s="22">
        <v>46.1</v>
      </c>
      <c r="O483" s="22">
        <v>4</v>
      </c>
      <c r="P483" s="22">
        <v>35</v>
      </c>
      <c r="Q483" s="22">
        <v>34</v>
      </c>
      <c r="R483" s="22" t="s">
        <v>1548</v>
      </c>
      <c r="S483" s="22" t="s">
        <v>1549</v>
      </c>
      <c r="AJ483" s="175"/>
      <c r="AK483" s="175"/>
      <c r="AL483" s="175"/>
      <c r="AM483" s="175"/>
      <c r="AN483" s="175"/>
      <c r="AO483" s="175"/>
      <c r="AP483" s="175"/>
      <c r="AS483" s="3"/>
      <c r="BD483" s="97"/>
      <c r="EL483" s="3"/>
      <c r="EM483" s="3"/>
    </row>
    <row r="484" spans="9:143">
      <c r="I484" s="22"/>
      <c r="J484" s="156" t="s">
        <v>1550</v>
      </c>
      <c r="K484" s="156" t="s">
        <v>1550</v>
      </c>
      <c r="L484" s="22">
        <v>8</v>
      </c>
      <c r="M484" s="22">
        <v>8</v>
      </c>
      <c r="N484" s="22">
        <v>35.6</v>
      </c>
      <c r="O484" s="22">
        <v>-2</v>
      </c>
      <c r="P484" s="22">
        <v>-59</v>
      </c>
      <c r="Q484" s="22">
        <v>-2</v>
      </c>
      <c r="R484" s="22" t="s">
        <v>1551</v>
      </c>
      <c r="S484" s="22" t="s">
        <v>1552</v>
      </c>
      <c r="AJ484" s="175"/>
      <c r="AK484" s="175"/>
      <c r="AL484" s="175"/>
      <c r="AM484" s="175"/>
      <c r="AN484" s="175"/>
      <c r="AO484" s="175"/>
      <c r="AP484" s="175"/>
      <c r="AS484" s="3"/>
      <c r="BD484" s="97"/>
      <c r="EL484" s="3"/>
      <c r="EM484" s="3"/>
    </row>
    <row r="485" spans="9:143">
      <c r="I485" s="32" t="s">
        <v>0</v>
      </c>
      <c r="J485" s="160" t="s">
        <v>1553</v>
      </c>
      <c r="K485" s="160" t="s">
        <v>1553</v>
      </c>
      <c r="L485" s="32" t="s">
        <v>461</v>
      </c>
      <c r="M485" s="32" t="s">
        <v>1554</v>
      </c>
      <c r="N485" s="32" t="s">
        <v>1554</v>
      </c>
      <c r="O485" s="32" t="s">
        <v>461</v>
      </c>
      <c r="P485" s="32" t="s">
        <v>1554</v>
      </c>
      <c r="Q485" s="32" t="s">
        <v>1554</v>
      </c>
      <c r="R485" s="32" t="s">
        <v>461</v>
      </c>
      <c r="S485" s="32" t="s">
        <v>1554</v>
      </c>
      <c r="AJ485" s="175"/>
      <c r="AK485" s="175"/>
      <c r="AL485" s="175"/>
      <c r="AM485" s="175"/>
      <c r="AN485" s="175"/>
      <c r="AO485" s="175"/>
      <c r="AP485" s="175"/>
      <c r="AS485" s="3"/>
      <c r="BD485" s="97"/>
      <c r="EL485" s="3"/>
      <c r="EM485" s="3"/>
    </row>
    <row r="486" spans="9:143">
      <c r="I486" s="34"/>
      <c r="J486" s="156" t="s">
        <v>1555</v>
      </c>
      <c r="K486" s="156" t="s">
        <v>1555</v>
      </c>
      <c r="L486" s="35">
        <v>0</v>
      </c>
      <c r="M486" s="35">
        <v>13</v>
      </c>
      <c r="N486" s="35">
        <v>1</v>
      </c>
      <c r="O486" s="35">
        <v>72</v>
      </c>
      <c r="P486" s="35">
        <v>31</v>
      </c>
      <c r="Q486" s="35">
        <v>19</v>
      </c>
      <c r="R486" s="22" t="s">
        <v>1556</v>
      </c>
      <c r="S486" s="128" t="s">
        <v>1557</v>
      </c>
      <c r="AJ486" s="175"/>
      <c r="AK486" s="175"/>
      <c r="AL486" s="175"/>
      <c r="AM486" s="175"/>
      <c r="AN486" s="175"/>
      <c r="AO486" s="175"/>
      <c r="AP486" s="175"/>
      <c r="AS486" s="3"/>
      <c r="BD486" s="97"/>
      <c r="EL486" s="3"/>
      <c r="EM486" s="3"/>
    </row>
    <row r="487" spans="9:143">
      <c r="I487" s="34"/>
      <c r="J487" s="156" t="s">
        <v>1558</v>
      </c>
      <c r="K487" s="156" t="s">
        <v>1558</v>
      </c>
      <c r="L487" s="35">
        <v>0</v>
      </c>
      <c r="M487" s="35">
        <v>29</v>
      </c>
      <c r="N487" s="35">
        <v>15.1</v>
      </c>
      <c r="O487" s="35">
        <v>2</v>
      </c>
      <c r="P487" s="35">
        <v>51</v>
      </c>
      <c r="Q487" s="35">
        <v>51</v>
      </c>
      <c r="R487" s="35" t="s">
        <v>1559</v>
      </c>
      <c r="S487" s="35" t="s">
        <v>1560</v>
      </c>
      <c r="AJ487" s="175"/>
      <c r="AK487" s="175"/>
      <c r="AL487" s="175"/>
      <c r="AM487" s="175"/>
      <c r="AN487" s="175"/>
      <c r="AO487" s="175"/>
      <c r="AP487" s="175"/>
      <c r="AS487" s="3"/>
      <c r="BD487" s="97"/>
      <c r="EL487" s="3"/>
      <c r="EM487" s="3"/>
    </row>
    <row r="488" spans="9:143">
      <c r="I488" s="34"/>
      <c r="J488" s="156" t="s">
        <v>1561</v>
      </c>
      <c r="K488" s="156" t="s">
        <v>1561</v>
      </c>
      <c r="L488" s="35">
        <v>0</v>
      </c>
      <c r="M488" s="35">
        <v>30</v>
      </c>
      <c r="N488" s="35">
        <v>21.9</v>
      </c>
      <c r="O488" s="35">
        <v>-33</v>
      </c>
      <c r="P488" s="35">
        <v>-14</v>
      </c>
      <c r="Q488" s="35">
        <v>-43</v>
      </c>
      <c r="R488" s="35" t="s">
        <v>1562</v>
      </c>
      <c r="S488" s="35" t="s">
        <v>1563</v>
      </c>
      <c r="AJ488" s="175"/>
      <c r="AK488" s="175"/>
      <c r="AL488" s="175"/>
      <c r="AM488" s="175"/>
      <c r="AN488" s="175"/>
      <c r="AO488" s="175"/>
      <c r="AP488" s="175"/>
      <c r="AS488" s="3"/>
      <c r="BD488" s="97"/>
      <c r="EL488" s="3"/>
      <c r="EM488" s="3"/>
    </row>
    <row r="489" spans="9:143">
      <c r="I489" s="34"/>
      <c r="J489" s="156" t="s">
        <v>1564</v>
      </c>
      <c r="K489" s="156" t="s">
        <v>1564</v>
      </c>
      <c r="L489" s="35">
        <v>0</v>
      </c>
      <c r="M489" s="35">
        <v>33</v>
      </c>
      <c r="N489" s="35">
        <v>12.1</v>
      </c>
      <c r="O489" s="35">
        <v>48</v>
      </c>
      <c r="P489" s="35">
        <v>30</v>
      </c>
      <c r="Q489" s="35">
        <v>31</v>
      </c>
      <c r="R489" s="35" t="s">
        <v>1565</v>
      </c>
      <c r="S489" s="35" t="s">
        <v>1566</v>
      </c>
      <c r="AJ489" s="175"/>
      <c r="AK489" s="175"/>
      <c r="AL489" s="175"/>
      <c r="AM489" s="175"/>
      <c r="AN489" s="175"/>
      <c r="AO489" s="175"/>
      <c r="AP489" s="175"/>
      <c r="AS489" s="3"/>
      <c r="BD489" s="97"/>
      <c r="EL489" s="3"/>
      <c r="EM489" s="3"/>
    </row>
    <row r="490" spans="9:143">
      <c r="I490" s="34"/>
      <c r="J490" s="156" t="s">
        <v>1567</v>
      </c>
      <c r="K490" s="156" t="s">
        <v>1567</v>
      </c>
      <c r="L490" s="35">
        <v>0</v>
      </c>
      <c r="M490" s="35">
        <v>34</v>
      </c>
      <c r="N490" s="35">
        <v>46.8</v>
      </c>
      <c r="O490" s="35">
        <v>-8</v>
      </c>
      <c r="P490" s="35">
        <v>-23</v>
      </c>
      <c r="Q490" s="35">
        <v>-47</v>
      </c>
      <c r="R490" s="35" t="s">
        <v>1568</v>
      </c>
      <c r="S490" s="35" t="s">
        <v>1569</v>
      </c>
      <c r="AJ490" s="175"/>
      <c r="AK490" s="175"/>
      <c r="AL490" s="175"/>
      <c r="AM490" s="175"/>
      <c r="AN490" s="175"/>
      <c r="AO490" s="175"/>
      <c r="AP490" s="175"/>
      <c r="AS490" s="3"/>
      <c r="BD490" s="97"/>
      <c r="EL490" s="3"/>
      <c r="EM490" s="3"/>
    </row>
    <row r="491" spans="9:143">
      <c r="I491" s="34"/>
      <c r="J491" s="156" t="s">
        <v>1570</v>
      </c>
      <c r="K491" s="156" t="s">
        <v>1570</v>
      </c>
      <c r="L491" s="35">
        <v>0</v>
      </c>
      <c r="M491" s="35">
        <v>38</v>
      </c>
      <c r="N491" s="35">
        <v>58</v>
      </c>
      <c r="O491" s="35">
        <v>48</v>
      </c>
      <c r="P491" s="35">
        <v>20</v>
      </c>
      <c r="Q491" s="35">
        <v>15</v>
      </c>
      <c r="R491" s="35" t="s">
        <v>1571</v>
      </c>
      <c r="S491" s="35" t="s">
        <v>1572</v>
      </c>
      <c r="AJ491" s="175"/>
      <c r="AK491" s="175"/>
      <c r="AL491" s="175"/>
      <c r="AM491" s="175"/>
      <c r="AN491" s="175"/>
      <c r="AO491" s="175"/>
      <c r="AP491" s="175"/>
      <c r="AS491" s="3"/>
      <c r="BD491" s="97"/>
      <c r="EL491" s="3"/>
      <c r="EM491" s="3"/>
    </row>
    <row r="492" spans="9:143">
      <c r="I492" s="34"/>
      <c r="J492" s="156" t="s">
        <v>1573</v>
      </c>
      <c r="K492" s="156" t="s">
        <v>1573</v>
      </c>
      <c r="L492" s="35">
        <v>0</v>
      </c>
      <c r="M492" s="35">
        <v>47</v>
      </c>
      <c r="N492" s="35">
        <v>3.3</v>
      </c>
      <c r="O492" s="35">
        <v>-11</v>
      </c>
      <c r="P492" s="35">
        <v>-52</v>
      </c>
      <c r="Q492" s="35">
        <v>-19</v>
      </c>
      <c r="R492" s="35" t="s">
        <v>1574</v>
      </c>
      <c r="S492" s="128" t="s">
        <v>1557</v>
      </c>
      <c r="AJ492" s="175"/>
      <c r="AK492" s="175"/>
      <c r="AL492" s="175"/>
      <c r="AM492" s="175"/>
      <c r="AN492" s="175"/>
      <c r="AO492" s="175"/>
      <c r="AP492" s="175"/>
      <c r="AS492" s="3"/>
      <c r="BD492" s="97"/>
      <c r="EL492" s="3"/>
      <c r="EM492" s="3"/>
    </row>
    <row r="493" spans="9:143">
      <c r="I493" s="34"/>
      <c r="J493" s="156" t="s">
        <v>1575</v>
      </c>
      <c r="K493" s="156" t="s">
        <v>1575</v>
      </c>
      <c r="L493" s="35">
        <v>0</v>
      </c>
      <c r="M493" s="35">
        <v>47</v>
      </c>
      <c r="N493" s="35">
        <v>8.6</v>
      </c>
      <c r="O493" s="35">
        <v>-20</v>
      </c>
      <c r="P493" s="35">
        <v>-37</v>
      </c>
      <c r="Q493" s="35">
        <v>-36</v>
      </c>
      <c r="R493" s="22" t="s">
        <v>1576</v>
      </c>
      <c r="S493" s="35" t="s">
        <v>1577</v>
      </c>
      <c r="AJ493" s="175"/>
      <c r="AK493" s="175"/>
      <c r="AL493" s="175"/>
      <c r="AM493" s="175"/>
      <c r="AN493" s="175"/>
      <c r="AO493" s="175"/>
      <c r="AP493" s="175"/>
      <c r="AS493" s="3"/>
      <c r="BD493" s="97"/>
      <c r="EL493" s="3"/>
      <c r="EM493" s="3"/>
    </row>
    <row r="494" spans="9:143">
      <c r="I494" s="34"/>
      <c r="J494" s="156" t="s">
        <v>1578</v>
      </c>
      <c r="K494" s="156" t="s">
        <v>1578</v>
      </c>
      <c r="L494" s="35">
        <v>0</v>
      </c>
      <c r="M494" s="35">
        <v>47</v>
      </c>
      <c r="N494" s="35">
        <v>33.1</v>
      </c>
      <c r="O494" s="35">
        <v>-25</v>
      </c>
      <c r="P494" s="35">
        <v>-17</v>
      </c>
      <c r="Q494" s="35">
        <v>-20</v>
      </c>
      <c r="R494" s="35" t="s">
        <v>1579</v>
      </c>
      <c r="S494" s="35" t="s">
        <v>1580</v>
      </c>
      <c r="AJ494" s="175"/>
      <c r="AK494" s="175"/>
      <c r="AL494" s="175"/>
      <c r="AM494" s="175"/>
      <c r="AN494" s="175"/>
      <c r="AO494" s="175"/>
      <c r="AP494" s="175"/>
      <c r="AS494" s="3"/>
      <c r="BD494" s="97"/>
      <c r="EL494" s="3"/>
      <c r="EM494" s="3"/>
    </row>
    <row r="495" spans="9:143">
      <c r="I495" s="34"/>
      <c r="J495" s="156" t="s">
        <v>1581</v>
      </c>
      <c r="K495" s="156" t="s">
        <v>1581</v>
      </c>
      <c r="L495" s="35">
        <v>0</v>
      </c>
      <c r="M495" s="35">
        <v>52</v>
      </c>
      <c r="N495" s="35">
        <v>4.3</v>
      </c>
      <c r="O495" s="35">
        <v>47</v>
      </c>
      <c r="P495" s="35">
        <v>33</v>
      </c>
      <c r="Q495" s="35">
        <v>2</v>
      </c>
      <c r="R495" s="35" t="s">
        <v>1582</v>
      </c>
      <c r="S495" s="35" t="s">
        <v>1583</v>
      </c>
      <c r="AJ495" s="175"/>
      <c r="AK495" s="175"/>
      <c r="AL495" s="175"/>
      <c r="AM495" s="175"/>
      <c r="AN495" s="175"/>
      <c r="AO495" s="175"/>
      <c r="AP495" s="175"/>
      <c r="AS495" s="3"/>
      <c r="BD495" s="97"/>
      <c r="EL495" s="3"/>
      <c r="EM495" s="3"/>
    </row>
    <row r="496" spans="9:143">
      <c r="I496" s="34"/>
      <c r="J496" s="156" t="s">
        <v>1584</v>
      </c>
      <c r="K496" s="156" t="s">
        <v>1584</v>
      </c>
      <c r="L496" s="35">
        <v>0</v>
      </c>
      <c r="M496" s="35">
        <v>52</v>
      </c>
      <c r="N496" s="35">
        <v>45.2</v>
      </c>
      <c r="O496" s="35">
        <v>-26</v>
      </c>
      <c r="P496" s="35">
        <v>-34</v>
      </c>
      <c r="Q496" s="35">
        <v>-57</v>
      </c>
      <c r="R496" s="22" t="s">
        <v>1585</v>
      </c>
      <c r="S496" s="128" t="s">
        <v>1586</v>
      </c>
      <c r="AJ496" s="175"/>
      <c r="AK496" s="175"/>
      <c r="AL496" s="175"/>
      <c r="AM496" s="175"/>
      <c r="AN496" s="175"/>
      <c r="AO496" s="175"/>
      <c r="AP496" s="175"/>
      <c r="AS496" s="3"/>
      <c r="BD496" s="97"/>
      <c r="EL496" s="3"/>
      <c r="EM496" s="3"/>
    </row>
    <row r="497" spans="9:143">
      <c r="I497" s="34"/>
      <c r="J497" s="156" t="s">
        <v>1587</v>
      </c>
      <c r="K497" s="156" t="s">
        <v>1587</v>
      </c>
      <c r="L497" s="35">
        <v>1</v>
      </c>
      <c r="M497" s="35">
        <v>9</v>
      </c>
      <c r="N497" s="35">
        <v>27.1</v>
      </c>
      <c r="O497" s="35">
        <v>35</v>
      </c>
      <c r="P497" s="35">
        <v>43</v>
      </c>
      <c r="Q497" s="35">
        <v>5</v>
      </c>
      <c r="R497" s="35" t="s">
        <v>1588</v>
      </c>
      <c r="S497" s="35" t="s">
        <v>1589</v>
      </c>
      <c r="AJ497" s="175"/>
      <c r="AK497" s="175"/>
      <c r="AL497" s="175"/>
      <c r="AM497" s="175"/>
      <c r="AN497" s="175"/>
      <c r="AO497" s="175"/>
      <c r="AP497" s="175"/>
      <c r="AS497" s="3"/>
      <c r="BD497" s="97"/>
      <c r="EL497" s="3"/>
      <c r="EM497" s="3"/>
    </row>
    <row r="498" spans="9:143">
      <c r="I498" s="34"/>
      <c r="J498" s="156" t="s">
        <v>1590</v>
      </c>
      <c r="K498" s="156" t="s">
        <v>1590</v>
      </c>
      <c r="L498" s="35">
        <v>1</v>
      </c>
      <c r="M498" s="35">
        <v>19</v>
      </c>
      <c r="N498" s="35">
        <v>35</v>
      </c>
      <c r="O498" s="35">
        <v>58</v>
      </c>
      <c r="P498" s="35">
        <v>17</v>
      </c>
      <c r="Q498" s="35">
        <v>1</v>
      </c>
      <c r="R498" s="22" t="s">
        <v>1591</v>
      </c>
      <c r="S498" s="35" t="s">
        <v>1557</v>
      </c>
      <c r="AJ498" s="175"/>
      <c r="AK498" s="175"/>
      <c r="AL498" s="175"/>
      <c r="AM498" s="175"/>
      <c r="AN498" s="175"/>
      <c r="AO498" s="175"/>
      <c r="AP498" s="175"/>
      <c r="AS498" s="3"/>
      <c r="BD498" s="97"/>
      <c r="EL498" s="3"/>
      <c r="EM498" s="3"/>
    </row>
    <row r="499" spans="9:143">
      <c r="I499" s="34"/>
      <c r="J499" s="156" t="s">
        <v>1592</v>
      </c>
      <c r="K499" s="156" t="s">
        <v>1592</v>
      </c>
      <c r="L499" s="35">
        <v>1</v>
      </c>
      <c r="M499" s="35">
        <v>21</v>
      </c>
      <c r="N499" s="35">
        <v>46.8</v>
      </c>
      <c r="O499" s="35">
        <v>5</v>
      </c>
      <c r="P499" s="35">
        <v>15</v>
      </c>
      <c r="Q499" s="35">
        <v>24</v>
      </c>
      <c r="R499" s="22" t="s">
        <v>1593</v>
      </c>
      <c r="S499" s="35" t="s">
        <v>1594</v>
      </c>
      <c r="AJ499" s="175"/>
      <c r="AK499" s="175"/>
      <c r="AL499" s="175"/>
      <c r="AM499" s="175"/>
      <c r="AN499" s="175"/>
      <c r="AO499" s="175"/>
      <c r="AP499" s="175"/>
      <c r="AS499" s="3"/>
      <c r="BD499" s="97"/>
      <c r="EL499" s="3"/>
      <c r="EM499" s="3"/>
    </row>
    <row r="500" spans="9:143">
      <c r="I500" s="34"/>
      <c r="J500" s="156" t="s">
        <v>1595</v>
      </c>
      <c r="K500" s="156" t="s">
        <v>1595</v>
      </c>
      <c r="L500" s="35">
        <v>1</v>
      </c>
      <c r="M500" s="35">
        <v>24</v>
      </c>
      <c r="N500" s="35">
        <v>47.7</v>
      </c>
      <c r="O500" s="35">
        <v>9</v>
      </c>
      <c r="P500" s="35">
        <v>32</v>
      </c>
      <c r="Q500" s="35">
        <v>20</v>
      </c>
      <c r="R500" s="22" t="s">
        <v>1596</v>
      </c>
      <c r="S500" s="35" t="s">
        <v>1594</v>
      </c>
      <c r="AJ500" s="175"/>
      <c r="AK500" s="175"/>
      <c r="AL500" s="175"/>
      <c r="AM500" s="175"/>
      <c r="AN500" s="175"/>
      <c r="AO500" s="175"/>
      <c r="AP500" s="175"/>
      <c r="AS500" s="3"/>
      <c r="BD500" s="97"/>
      <c r="EL500" s="3"/>
      <c r="EM500" s="3"/>
    </row>
    <row r="501" spans="9:143">
      <c r="I501" s="34"/>
      <c r="J501" s="156" t="s">
        <v>1597</v>
      </c>
      <c r="K501" s="156" t="s">
        <v>1597</v>
      </c>
      <c r="L501" s="35">
        <v>1</v>
      </c>
      <c r="M501" s="35">
        <v>31</v>
      </c>
      <c r="N501" s="35">
        <v>20.8</v>
      </c>
      <c r="O501" s="35">
        <v>-6</v>
      </c>
      <c r="P501" s="35">
        <v>-52</v>
      </c>
      <c r="Q501" s="35">
        <v>-5</v>
      </c>
      <c r="R501" s="22" t="s">
        <v>1598</v>
      </c>
      <c r="S501" s="35" t="s">
        <v>1599</v>
      </c>
      <c r="AJ501" s="175"/>
      <c r="AK501" s="175"/>
      <c r="AL501" s="175"/>
      <c r="AM501" s="175"/>
      <c r="AN501" s="175"/>
      <c r="AO501" s="175"/>
      <c r="AP501" s="175"/>
      <c r="AS501" s="3"/>
      <c r="BD501" s="97"/>
      <c r="EL501" s="3"/>
      <c r="EM501" s="3"/>
    </row>
    <row r="502" spans="9:143">
      <c r="I502" s="34"/>
      <c r="J502" s="156" t="s">
        <v>1600</v>
      </c>
      <c r="K502" s="156" t="s">
        <v>1600</v>
      </c>
      <c r="L502" s="35">
        <v>1</v>
      </c>
      <c r="M502" s="35">
        <v>43</v>
      </c>
      <c r="N502" s="35">
        <v>2.2999999999999998</v>
      </c>
      <c r="O502" s="35">
        <v>13</v>
      </c>
      <c r="P502" s="35">
        <v>38</v>
      </c>
      <c r="Q502" s="35">
        <v>44</v>
      </c>
      <c r="R502" s="22" t="s">
        <v>1601</v>
      </c>
      <c r="S502" s="35" t="s">
        <v>1602</v>
      </c>
      <c r="AJ502" s="175"/>
      <c r="AK502" s="175"/>
      <c r="AL502" s="175"/>
      <c r="AM502" s="175"/>
      <c r="AN502" s="175"/>
      <c r="AO502" s="175"/>
      <c r="AP502" s="175"/>
      <c r="AS502" s="3"/>
      <c r="BD502" s="97"/>
      <c r="EL502" s="3"/>
      <c r="EM502" s="3"/>
    </row>
    <row r="503" spans="9:143">
      <c r="I503" s="34"/>
      <c r="J503" s="156" t="s">
        <v>1603</v>
      </c>
      <c r="K503" s="156" t="s">
        <v>1603</v>
      </c>
      <c r="L503" s="35">
        <v>1</v>
      </c>
      <c r="M503" s="35">
        <v>46</v>
      </c>
      <c r="N503" s="35">
        <v>9</v>
      </c>
      <c r="O503" s="35">
        <v>61</v>
      </c>
      <c r="P503" s="35">
        <v>14</v>
      </c>
      <c r="Q503" s="35">
        <v>0</v>
      </c>
      <c r="R503" s="22" t="s">
        <v>1604</v>
      </c>
      <c r="S503" s="35" t="s">
        <v>1557</v>
      </c>
      <c r="AJ503" s="175"/>
      <c r="AK503" s="175"/>
      <c r="AL503" s="175"/>
      <c r="AM503" s="175"/>
      <c r="AN503" s="175"/>
      <c r="AO503" s="175"/>
      <c r="AP503" s="175"/>
      <c r="AS503" s="3"/>
      <c r="BD503" s="97"/>
      <c r="EL503" s="3"/>
      <c r="EM503" s="3"/>
    </row>
    <row r="504" spans="9:143">
      <c r="I504" s="34"/>
      <c r="J504" s="156" t="s">
        <v>1605</v>
      </c>
      <c r="K504" s="156" t="s">
        <v>1605</v>
      </c>
      <c r="L504" s="35">
        <v>1</v>
      </c>
      <c r="M504" s="35">
        <v>53</v>
      </c>
      <c r="N504" s="35">
        <v>0.5</v>
      </c>
      <c r="O504" s="35">
        <v>-13</v>
      </c>
      <c r="P504" s="35">
        <v>-44</v>
      </c>
      <c r="Q504" s="35">
        <v>-19</v>
      </c>
      <c r="R504" s="35" t="s">
        <v>1606</v>
      </c>
      <c r="S504" s="35" t="s">
        <v>1607</v>
      </c>
      <c r="AJ504" s="175"/>
      <c r="AK504" s="175"/>
      <c r="AL504" s="175"/>
      <c r="AM504" s="175"/>
      <c r="AN504" s="175"/>
      <c r="AO504" s="175"/>
      <c r="AP504" s="175"/>
      <c r="AS504" s="3"/>
      <c r="BD504" s="97"/>
      <c r="EL504" s="3"/>
      <c r="EM504" s="3"/>
    </row>
    <row r="505" spans="9:143">
      <c r="I505" s="34"/>
      <c r="J505" s="156" t="s">
        <v>1608</v>
      </c>
      <c r="K505" s="156" t="s">
        <v>1608</v>
      </c>
      <c r="L505" s="35">
        <v>1</v>
      </c>
      <c r="M505" s="35">
        <v>57</v>
      </c>
      <c r="N505" s="35">
        <v>41</v>
      </c>
      <c r="O505" s="35">
        <v>37</v>
      </c>
      <c r="P505" s="35">
        <v>47</v>
      </c>
      <c r="Q505" s="35">
        <v>0</v>
      </c>
      <c r="R505" s="35" t="s">
        <v>1609</v>
      </c>
      <c r="S505" s="35" t="s">
        <v>1610</v>
      </c>
      <c r="AJ505" s="175"/>
      <c r="AK505" s="175"/>
      <c r="AL505" s="175"/>
      <c r="AM505" s="175"/>
      <c r="AN505" s="175"/>
      <c r="AO505" s="175"/>
      <c r="AP505" s="175"/>
      <c r="AS505" s="3"/>
      <c r="BD505" s="97"/>
      <c r="EL505" s="3"/>
      <c r="EM505" s="3"/>
    </row>
    <row r="506" spans="9:143">
      <c r="I506" s="34"/>
      <c r="J506" s="156" t="s">
        <v>1611</v>
      </c>
      <c r="K506" s="156" t="s">
        <v>1611</v>
      </c>
      <c r="L506" s="35">
        <v>1</v>
      </c>
      <c r="M506" s="35">
        <v>59</v>
      </c>
      <c r="N506" s="35">
        <v>19.600000000000001</v>
      </c>
      <c r="O506" s="35">
        <v>19</v>
      </c>
      <c r="P506" s="35">
        <v>0</v>
      </c>
      <c r="Q506" s="35">
        <v>27</v>
      </c>
      <c r="R506" s="35" t="s">
        <v>1612</v>
      </c>
      <c r="S506" s="35" t="s">
        <v>1613</v>
      </c>
      <c r="AJ506" s="175"/>
      <c r="AK506" s="175"/>
      <c r="AL506" s="175"/>
      <c r="AM506" s="175"/>
      <c r="AN506" s="175"/>
      <c r="AO506" s="175"/>
      <c r="AP506" s="175"/>
      <c r="AS506" s="3"/>
      <c r="BD506" s="97"/>
      <c r="EL506" s="3"/>
      <c r="EM506" s="3"/>
    </row>
    <row r="507" spans="9:143">
      <c r="I507" s="34"/>
      <c r="J507" s="156" t="s">
        <v>1614</v>
      </c>
      <c r="K507" s="156" t="s">
        <v>1614</v>
      </c>
      <c r="L507" s="35">
        <v>2</v>
      </c>
      <c r="M507" s="35">
        <v>6</v>
      </c>
      <c r="N507" s="35">
        <v>51.5</v>
      </c>
      <c r="O507" s="35">
        <v>44</v>
      </c>
      <c r="P507" s="35">
        <v>34</v>
      </c>
      <c r="Q507" s="35">
        <v>22</v>
      </c>
      <c r="R507" s="35" t="s">
        <v>1615</v>
      </c>
      <c r="S507" s="35" t="s">
        <v>1616</v>
      </c>
      <c r="AJ507" s="175"/>
      <c r="AK507" s="175"/>
      <c r="AL507" s="175"/>
      <c r="AM507" s="175"/>
      <c r="AN507" s="175"/>
      <c r="AO507" s="175"/>
      <c r="AP507" s="175"/>
      <c r="AS507" s="3"/>
      <c r="BD507" s="97"/>
      <c r="EL507" s="3"/>
      <c r="EM507" s="3"/>
    </row>
    <row r="508" spans="9:143">
      <c r="I508" s="34"/>
      <c r="J508" s="156" t="s">
        <v>1617</v>
      </c>
      <c r="K508" s="156" t="s">
        <v>1617</v>
      </c>
      <c r="L508" s="35">
        <v>2</v>
      </c>
      <c r="M508" s="35">
        <v>19</v>
      </c>
      <c r="N508" s="35">
        <v>0</v>
      </c>
      <c r="O508" s="35">
        <v>57</v>
      </c>
      <c r="P508" s="35">
        <v>7</v>
      </c>
      <c r="Q508" s="35">
        <v>4</v>
      </c>
      <c r="R508" s="22" t="s">
        <v>1618</v>
      </c>
      <c r="S508" s="128" t="s">
        <v>1619</v>
      </c>
      <c r="AJ508" s="175"/>
      <c r="AK508" s="175"/>
      <c r="AL508" s="175"/>
      <c r="AM508" s="175"/>
      <c r="AN508" s="175"/>
      <c r="AO508" s="175"/>
      <c r="AP508" s="175"/>
      <c r="AS508" s="3"/>
      <c r="BD508" s="97"/>
      <c r="EL508" s="3"/>
      <c r="EM508" s="3"/>
    </row>
    <row r="509" spans="9:143">
      <c r="I509" s="34"/>
      <c r="J509" s="156" t="s">
        <v>1620</v>
      </c>
      <c r="K509" s="156" t="s">
        <v>1620</v>
      </c>
      <c r="L509" s="35">
        <v>2</v>
      </c>
      <c r="M509" s="35">
        <v>22</v>
      </c>
      <c r="N509" s="35">
        <v>23</v>
      </c>
      <c r="O509" s="35">
        <v>57</v>
      </c>
      <c r="P509" s="35">
        <v>7</v>
      </c>
      <c r="Q509" s="35">
        <v>3</v>
      </c>
      <c r="R509" s="22" t="s">
        <v>1621</v>
      </c>
      <c r="S509" s="128" t="s">
        <v>1619</v>
      </c>
      <c r="AJ509" s="175"/>
      <c r="AK509" s="175"/>
      <c r="AL509" s="175"/>
      <c r="AM509" s="175"/>
      <c r="AN509" s="175"/>
      <c r="AO509" s="175"/>
      <c r="AP509" s="175"/>
      <c r="AS509" s="3"/>
      <c r="BD509" s="97"/>
      <c r="EL509" s="3"/>
      <c r="EM509" s="3"/>
    </row>
    <row r="510" spans="9:143">
      <c r="I510" s="34"/>
      <c r="J510" s="156" t="s">
        <v>1622</v>
      </c>
      <c r="K510" s="156" t="s">
        <v>1622</v>
      </c>
      <c r="L510" s="35">
        <v>2</v>
      </c>
      <c r="M510" s="35">
        <v>22</v>
      </c>
      <c r="N510" s="35">
        <v>1</v>
      </c>
      <c r="O510" s="35">
        <v>33</v>
      </c>
      <c r="P510" s="35">
        <v>15</v>
      </c>
      <c r="Q510" s="35">
        <v>58</v>
      </c>
      <c r="R510" s="35" t="s">
        <v>1623</v>
      </c>
      <c r="S510" s="38" t="s">
        <v>1624</v>
      </c>
      <c r="AJ510" s="175"/>
      <c r="AK510" s="175"/>
      <c r="AL510" s="175"/>
      <c r="AM510" s="175"/>
      <c r="AN510" s="175"/>
      <c r="AO510" s="175"/>
      <c r="AP510" s="175"/>
      <c r="AS510" s="3"/>
      <c r="BD510" s="97"/>
      <c r="EL510" s="3"/>
      <c r="EM510" s="3"/>
    </row>
    <row r="511" spans="9:143">
      <c r="I511" s="34"/>
      <c r="J511" s="156" t="s">
        <v>1625</v>
      </c>
      <c r="K511" s="156" t="s">
        <v>1625</v>
      </c>
      <c r="L511" s="35">
        <v>2</v>
      </c>
      <c r="M511" s="35">
        <v>22</v>
      </c>
      <c r="N511" s="35">
        <v>32.9</v>
      </c>
      <c r="O511" s="35">
        <v>42</v>
      </c>
      <c r="P511" s="35">
        <v>20</v>
      </c>
      <c r="Q511" s="35">
        <v>54</v>
      </c>
      <c r="R511" s="35" t="s">
        <v>1626</v>
      </c>
      <c r="S511" s="35" t="s">
        <v>1627</v>
      </c>
      <c r="AJ511" s="175"/>
      <c r="AK511" s="175"/>
      <c r="AL511" s="175"/>
      <c r="AM511" s="175"/>
      <c r="AN511" s="175"/>
      <c r="AO511" s="175"/>
      <c r="AP511" s="175"/>
      <c r="AS511" s="3"/>
      <c r="BD511" s="97"/>
      <c r="EL511" s="3"/>
      <c r="EM511" s="3"/>
    </row>
    <row r="512" spans="9:143">
      <c r="I512" s="34"/>
      <c r="J512" s="156" t="s">
        <v>1628</v>
      </c>
      <c r="K512" s="156" t="s">
        <v>1628</v>
      </c>
      <c r="L512" s="35">
        <v>2</v>
      </c>
      <c r="M512" s="35">
        <v>23</v>
      </c>
      <c r="N512" s="35">
        <v>4.5999999999999996</v>
      </c>
      <c r="O512" s="35">
        <v>-21</v>
      </c>
      <c r="P512" s="35">
        <v>-14</v>
      </c>
      <c r="Q512" s="35">
        <v>2</v>
      </c>
      <c r="R512" s="35" t="s">
        <v>1629</v>
      </c>
      <c r="S512" s="35" t="s">
        <v>1630</v>
      </c>
      <c r="AJ512" s="175"/>
      <c r="AK512" s="175"/>
      <c r="AL512" s="175"/>
      <c r="AM512" s="175"/>
      <c r="AN512" s="175"/>
      <c r="AO512" s="175"/>
      <c r="AP512" s="175"/>
      <c r="AS512" s="3"/>
      <c r="BD512" s="97"/>
      <c r="EL512" s="3"/>
      <c r="EM512" s="3"/>
    </row>
    <row r="513" spans="9:143">
      <c r="I513" s="34"/>
      <c r="J513" s="156" t="s">
        <v>1631</v>
      </c>
      <c r="K513" s="156" t="s">
        <v>1631</v>
      </c>
      <c r="L513" s="35">
        <v>2</v>
      </c>
      <c r="M513" s="35">
        <v>27</v>
      </c>
      <c r="N513" s="35">
        <v>16.899999999999999</v>
      </c>
      <c r="O513" s="35">
        <v>33</v>
      </c>
      <c r="P513" s="35">
        <v>34</v>
      </c>
      <c r="Q513" s="35">
        <v>44</v>
      </c>
      <c r="R513" s="35" t="s">
        <v>1632</v>
      </c>
      <c r="S513" s="35" t="s">
        <v>1633</v>
      </c>
      <c r="AJ513" s="175"/>
      <c r="AK513" s="175"/>
      <c r="AL513" s="175"/>
      <c r="AM513" s="175"/>
      <c r="AN513" s="175"/>
      <c r="AO513" s="175"/>
      <c r="AP513" s="175"/>
      <c r="AS513" s="3"/>
      <c r="BD513" s="97"/>
      <c r="EL513" s="3"/>
      <c r="EM513" s="3"/>
    </row>
    <row r="514" spans="9:143">
      <c r="I514" s="34"/>
      <c r="J514" s="156" t="s">
        <v>1634</v>
      </c>
      <c r="K514" s="156" t="s">
        <v>1634</v>
      </c>
      <c r="L514" s="35">
        <v>2</v>
      </c>
      <c r="M514" s="35">
        <v>27</v>
      </c>
      <c r="N514" s="35">
        <v>37.5</v>
      </c>
      <c r="O514" s="35">
        <v>-1</v>
      </c>
      <c r="P514" s="35">
        <v>-9</v>
      </c>
      <c r="Q514" s="35">
        <v>-23</v>
      </c>
      <c r="R514" s="35" t="s">
        <v>1635</v>
      </c>
      <c r="S514" s="35" t="s">
        <v>1636</v>
      </c>
      <c r="AI514" s="5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BD514" s="97"/>
      <c r="EL514" s="3"/>
      <c r="EM514" s="3"/>
    </row>
    <row r="515" spans="9:143">
      <c r="I515" s="34"/>
      <c r="J515" s="156" t="s">
        <v>1637</v>
      </c>
      <c r="K515" s="156" t="s">
        <v>1637</v>
      </c>
      <c r="L515" s="35">
        <v>2</v>
      </c>
      <c r="M515" s="35">
        <v>35</v>
      </c>
      <c r="N515" s="35">
        <v>27.7</v>
      </c>
      <c r="O515" s="35">
        <v>-9</v>
      </c>
      <c r="P515" s="35">
        <v>-21</v>
      </c>
      <c r="Q515" s="35">
        <v>-22</v>
      </c>
      <c r="R515" s="35" t="s">
        <v>1638</v>
      </c>
      <c r="S515" s="399" t="s">
        <v>1639</v>
      </c>
      <c r="AJ515" s="175"/>
      <c r="AK515" s="175"/>
      <c r="AL515" s="175"/>
      <c r="AM515" s="175"/>
      <c r="AN515" s="175"/>
      <c r="AO515" s="175"/>
      <c r="AP515" s="175"/>
      <c r="AS515" s="3"/>
      <c r="BD515" s="97"/>
      <c r="EL515" s="3"/>
      <c r="EM515" s="3"/>
    </row>
    <row r="516" spans="9:143">
      <c r="I516" s="34"/>
      <c r="J516" s="156" t="s">
        <v>1640</v>
      </c>
      <c r="K516" s="156" t="s">
        <v>1640</v>
      </c>
      <c r="L516" s="35">
        <v>2</v>
      </c>
      <c r="M516" s="35">
        <v>40</v>
      </c>
      <c r="N516" s="35">
        <v>24</v>
      </c>
      <c r="O516" s="35">
        <v>39</v>
      </c>
      <c r="P516" s="35">
        <v>3</v>
      </c>
      <c r="Q516" s="35">
        <v>48</v>
      </c>
      <c r="R516" s="35" t="s">
        <v>1641</v>
      </c>
      <c r="S516" s="35" t="s">
        <v>1642</v>
      </c>
      <c r="AJ516" s="175"/>
      <c r="AK516" s="175"/>
      <c r="AL516" s="175"/>
      <c r="AM516" s="175"/>
      <c r="AN516" s="175"/>
      <c r="AO516" s="175"/>
      <c r="AP516" s="175"/>
      <c r="AS516" s="3"/>
      <c r="BD516" s="97"/>
      <c r="EL516" s="3"/>
      <c r="EM516" s="3"/>
    </row>
    <row r="517" spans="9:143">
      <c r="I517" s="34"/>
      <c r="J517" s="156" t="s">
        <v>1643</v>
      </c>
      <c r="K517" s="156" t="s">
        <v>1643</v>
      </c>
      <c r="L517" s="35">
        <v>2</v>
      </c>
      <c r="M517" s="35">
        <v>40</v>
      </c>
      <c r="N517" s="35">
        <v>24</v>
      </c>
      <c r="O517" s="35">
        <v>-8</v>
      </c>
      <c r="P517" s="35">
        <v>-26</v>
      </c>
      <c r="Q517" s="35">
        <v>-1</v>
      </c>
      <c r="R517" s="35" t="s">
        <v>1644</v>
      </c>
      <c r="S517" s="35" t="s">
        <v>1644</v>
      </c>
      <c r="AJ517" s="175"/>
      <c r="AK517" s="175"/>
      <c r="AL517" s="175"/>
      <c r="AM517" s="175"/>
      <c r="AN517" s="175"/>
      <c r="AO517" s="175"/>
      <c r="AP517" s="175"/>
      <c r="AS517" s="3"/>
      <c r="BD517" s="97"/>
      <c r="EL517" s="3"/>
      <c r="EM517" s="3"/>
    </row>
    <row r="518" spans="9:143">
      <c r="I518" s="34"/>
      <c r="J518" s="156" t="s">
        <v>1645</v>
      </c>
      <c r="K518" s="156" t="s">
        <v>1645</v>
      </c>
      <c r="L518" s="35">
        <v>2</v>
      </c>
      <c r="M518" s="35">
        <v>41</v>
      </c>
      <c r="N518" s="35">
        <v>4.8</v>
      </c>
      <c r="O518" s="35">
        <v>-8</v>
      </c>
      <c r="P518" s="35">
        <v>-15</v>
      </c>
      <c r="Q518" s="35">
        <v>-21</v>
      </c>
      <c r="R518" s="35" t="s">
        <v>1646</v>
      </c>
      <c r="S518" s="35" t="s">
        <v>1646</v>
      </c>
      <c r="AJ518" s="175"/>
      <c r="AK518" s="175"/>
      <c r="AL518" s="175"/>
      <c r="AM518" s="175"/>
      <c r="AN518" s="175"/>
      <c r="AO518" s="175"/>
      <c r="AP518" s="175"/>
      <c r="AS518" s="3"/>
      <c r="BD518" s="97"/>
      <c r="EL518" s="3"/>
      <c r="EM518" s="3"/>
    </row>
    <row r="519" spans="9:143">
      <c r="I519" s="34"/>
      <c r="J519" s="156" t="s">
        <v>1647</v>
      </c>
      <c r="K519" s="156" t="s">
        <v>1647</v>
      </c>
      <c r="L519" s="35">
        <v>2</v>
      </c>
      <c r="M519" s="35">
        <v>41</v>
      </c>
      <c r="N519" s="35">
        <v>45.2</v>
      </c>
      <c r="O519" s="35">
        <v>0</v>
      </c>
      <c r="P519" s="35">
        <v>26</v>
      </c>
      <c r="Q519" s="35">
        <v>35</v>
      </c>
      <c r="R519" s="35" t="s">
        <v>1648</v>
      </c>
      <c r="S519" s="35" t="s">
        <v>1649</v>
      </c>
      <c r="AJ519" s="175"/>
      <c r="AK519" s="175"/>
      <c r="AL519" s="175"/>
      <c r="AM519" s="175"/>
      <c r="AN519" s="175"/>
      <c r="AO519" s="175"/>
      <c r="AP519" s="175"/>
      <c r="AS519" s="3"/>
      <c r="BD519" s="97"/>
      <c r="EL519" s="3"/>
      <c r="EM519" s="3"/>
    </row>
    <row r="520" spans="9:143">
      <c r="I520" s="34"/>
      <c r="J520" s="156" t="s">
        <v>1650</v>
      </c>
      <c r="K520" s="156" t="s">
        <v>1650</v>
      </c>
      <c r="L520" s="35">
        <v>2</v>
      </c>
      <c r="M520" s="35">
        <v>45</v>
      </c>
      <c r="N520" s="35">
        <v>59.9</v>
      </c>
      <c r="O520" s="35">
        <v>-7</v>
      </c>
      <c r="P520" s="35">
        <v>-34</v>
      </c>
      <c r="Q520" s="35">
        <v>-43</v>
      </c>
      <c r="R520" s="35" t="s">
        <v>1651</v>
      </c>
      <c r="S520" s="35" t="s">
        <v>1636</v>
      </c>
      <c r="AJ520" s="175"/>
      <c r="AK520" s="175"/>
      <c r="AL520" s="175"/>
      <c r="AM520" s="175"/>
      <c r="AN520" s="175"/>
      <c r="AO520" s="175"/>
      <c r="AP520" s="175"/>
      <c r="AS520" s="3"/>
      <c r="BD520" s="97"/>
      <c r="EL520" s="3"/>
      <c r="EM520" s="3"/>
    </row>
    <row r="521" spans="9:143">
      <c r="I521" s="34"/>
      <c r="J521" s="156" t="s">
        <v>1652</v>
      </c>
      <c r="K521" s="156" t="s">
        <v>1652</v>
      </c>
      <c r="L521" s="35">
        <v>2</v>
      </c>
      <c r="M521" s="35">
        <v>46</v>
      </c>
      <c r="N521" s="35">
        <v>25.2</v>
      </c>
      <c r="O521" s="35">
        <v>0</v>
      </c>
      <c r="P521" s="35">
        <v>-29</v>
      </c>
      <c r="Q521" s="35">
        <v>-55</v>
      </c>
      <c r="R521" s="35" t="s">
        <v>1653</v>
      </c>
      <c r="S521" s="35" t="s">
        <v>1654</v>
      </c>
      <c r="V521" s="5"/>
      <c r="W521" s="5"/>
      <c r="X521" s="283" t="s">
        <v>3101</v>
      </c>
      <c r="Y521" s="5"/>
      <c r="Z521" s="342"/>
      <c r="AA521" s="5"/>
      <c r="AB521" s="5"/>
      <c r="AC521" s="5"/>
      <c r="AD521" s="5"/>
      <c r="AE521" s="5"/>
      <c r="AF521" s="5"/>
      <c r="AG521" s="5"/>
      <c r="AJ521" s="175"/>
      <c r="AK521" s="175"/>
      <c r="AL521" s="175"/>
      <c r="AM521" s="175"/>
      <c r="AN521" s="175"/>
      <c r="AO521" s="175"/>
      <c r="AP521" s="175"/>
      <c r="AS521" s="3"/>
      <c r="BD521" s="97"/>
      <c r="EL521" s="3"/>
      <c r="EM521" s="3"/>
    </row>
    <row r="522" spans="9:143">
      <c r="I522" s="34"/>
      <c r="J522" s="156" t="s">
        <v>1655</v>
      </c>
      <c r="K522" s="156" t="s">
        <v>1655</v>
      </c>
      <c r="L522" s="35">
        <v>2</v>
      </c>
      <c r="M522" s="35">
        <v>46</v>
      </c>
      <c r="N522" s="35">
        <v>33.9</v>
      </c>
      <c r="O522" s="35">
        <v>0</v>
      </c>
      <c r="P522" s="35">
        <v>-14</v>
      </c>
      <c r="Q522" s="35">
        <v>-49</v>
      </c>
      <c r="R522" s="35" t="s">
        <v>1656</v>
      </c>
      <c r="S522" s="35" t="s">
        <v>1657</v>
      </c>
      <c r="AJ522" s="175"/>
      <c r="AK522" s="175"/>
      <c r="AL522" s="175"/>
      <c r="AM522" s="175"/>
      <c r="AN522" s="175"/>
      <c r="AO522" s="175"/>
      <c r="AP522" s="175"/>
      <c r="AS522" s="3"/>
      <c r="BD522" s="97"/>
      <c r="EL522" s="3"/>
      <c r="EM522" s="3"/>
    </row>
    <row r="523" spans="9:143">
      <c r="I523" s="34"/>
      <c r="J523" s="156" t="s">
        <v>1658</v>
      </c>
      <c r="K523" s="156" t="s">
        <v>1658</v>
      </c>
      <c r="L523" s="35">
        <v>3</v>
      </c>
      <c r="M523" s="35">
        <v>9</v>
      </c>
      <c r="N523" s="35">
        <v>45.9</v>
      </c>
      <c r="O523" s="35">
        <v>-20</v>
      </c>
      <c r="P523" s="35">
        <v>-34</v>
      </c>
      <c r="Q523" s="35">
        <v>-45</v>
      </c>
      <c r="R523" s="35" t="s">
        <v>1659</v>
      </c>
      <c r="S523" s="35" t="s">
        <v>1660</v>
      </c>
      <c r="AJ523" s="175"/>
      <c r="AK523" s="175"/>
      <c r="AL523" s="175"/>
      <c r="AM523" s="175"/>
      <c r="AN523" s="175"/>
      <c r="AO523" s="175"/>
      <c r="AP523" s="175"/>
      <c r="AS523" s="3"/>
      <c r="BD523" s="97"/>
      <c r="EL523" s="3"/>
      <c r="EM523" s="3"/>
    </row>
    <row r="524" spans="9:143">
      <c r="I524" s="34"/>
      <c r="J524" s="156" t="s">
        <v>1661</v>
      </c>
      <c r="K524" s="156" t="s">
        <v>1661</v>
      </c>
      <c r="L524" s="35">
        <v>3</v>
      </c>
      <c r="M524" s="35">
        <v>19</v>
      </c>
      <c r="N524" s="35">
        <v>14.2</v>
      </c>
      <c r="O524" s="35">
        <v>-19</v>
      </c>
      <c r="P524" s="35">
        <v>-6</v>
      </c>
      <c r="Q524" s="35">
        <v>0</v>
      </c>
      <c r="R524" s="35" t="s">
        <v>1662</v>
      </c>
      <c r="S524" s="22" t="s">
        <v>1663</v>
      </c>
      <c r="AJ524" s="175"/>
      <c r="AK524" s="175"/>
      <c r="AL524" s="175"/>
      <c r="AM524" s="175"/>
      <c r="AN524" s="175"/>
      <c r="AO524" s="175"/>
      <c r="AP524" s="175"/>
      <c r="AS524" s="3"/>
      <c r="BD524" s="97"/>
      <c r="EL524" s="3"/>
      <c r="EM524" s="3"/>
    </row>
    <row r="525" spans="9:143">
      <c r="I525" s="34"/>
      <c r="J525" s="156" t="s">
        <v>1664</v>
      </c>
      <c r="K525" s="156" t="s">
        <v>1664</v>
      </c>
      <c r="L525" s="35">
        <v>3</v>
      </c>
      <c r="M525" s="35">
        <v>19</v>
      </c>
      <c r="N525" s="35">
        <v>41.1</v>
      </c>
      <c r="O525" s="35">
        <v>-19</v>
      </c>
      <c r="P525" s="35">
        <v>-24</v>
      </c>
      <c r="Q525" s="35">
        <v>-41</v>
      </c>
      <c r="R525" s="35" t="s">
        <v>1665</v>
      </c>
      <c r="S525" s="35" t="s">
        <v>1666</v>
      </c>
      <c r="AJ525" s="175"/>
      <c r="AK525" s="175"/>
      <c r="AL525" s="175"/>
      <c r="AM525" s="175"/>
      <c r="AN525" s="175"/>
      <c r="AO525" s="175"/>
      <c r="AP525" s="175"/>
      <c r="AS525" s="3"/>
      <c r="BD525" s="97"/>
      <c r="EL525" s="3"/>
      <c r="EM525" s="3"/>
    </row>
    <row r="526" spans="9:143">
      <c r="I526" s="34"/>
      <c r="J526" s="156" t="s">
        <v>1667</v>
      </c>
      <c r="K526" s="156" t="s">
        <v>1667</v>
      </c>
      <c r="L526" s="35">
        <v>3</v>
      </c>
      <c r="M526" s="35">
        <v>26</v>
      </c>
      <c r="N526" s="35">
        <v>17.3</v>
      </c>
      <c r="O526" s="35">
        <v>-21</v>
      </c>
      <c r="P526" s="35">
        <v>-20</v>
      </c>
      <c r="Q526" s="35">
        <v>-7</v>
      </c>
      <c r="R526" s="35" t="s">
        <v>1668</v>
      </c>
      <c r="S526" s="35" t="s">
        <v>1669</v>
      </c>
      <c r="AJ526" s="175"/>
      <c r="AK526" s="175"/>
      <c r="AL526" s="175"/>
      <c r="AM526" s="175"/>
      <c r="AN526" s="175"/>
      <c r="AO526" s="175"/>
      <c r="AP526" s="175"/>
      <c r="AS526" s="3"/>
      <c r="BD526" s="97"/>
      <c r="EL526" s="3"/>
      <c r="EM526" s="3"/>
    </row>
    <row r="527" spans="9:143">
      <c r="I527" s="34"/>
      <c r="J527" s="112" t="s">
        <v>1670</v>
      </c>
      <c r="K527" s="112" t="s">
        <v>1670</v>
      </c>
      <c r="L527" s="37">
        <v>3</v>
      </c>
      <c r="M527" s="37">
        <v>39</v>
      </c>
      <c r="N527" s="37">
        <v>30.7</v>
      </c>
      <c r="O527" s="37">
        <v>-18</v>
      </c>
      <c r="P527" s="37">
        <v>-41</v>
      </c>
      <c r="Q527" s="37">
        <v>-17</v>
      </c>
      <c r="R527" s="35" t="s">
        <v>1671</v>
      </c>
      <c r="S527" s="22" t="s">
        <v>1672</v>
      </c>
      <c r="AJ527" s="175"/>
      <c r="AK527" s="175"/>
      <c r="AL527" s="175"/>
      <c r="AM527" s="175"/>
      <c r="AN527" s="175"/>
      <c r="AO527" s="175"/>
      <c r="AP527" s="175"/>
      <c r="AS527" s="3"/>
      <c r="BD527" s="97"/>
      <c r="EL527" s="3"/>
      <c r="EM527" s="3"/>
    </row>
    <row r="528" spans="9:143">
      <c r="I528" s="34"/>
      <c r="J528" s="156" t="s">
        <v>1673</v>
      </c>
      <c r="K528" s="156" t="s">
        <v>1673</v>
      </c>
      <c r="L528" s="35">
        <v>3</v>
      </c>
      <c r="M528" s="35">
        <v>40</v>
      </c>
      <c r="N528" s="35">
        <v>11.9</v>
      </c>
      <c r="O528" s="35">
        <v>-18</v>
      </c>
      <c r="P528" s="35">
        <v>-34</v>
      </c>
      <c r="Q528" s="35">
        <v>-49</v>
      </c>
      <c r="R528" s="35" t="s">
        <v>1674</v>
      </c>
      <c r="S528" s="35" t="s">
        <v>1675</v>
      </c>
      <c r="AJ528" s="175"/>
      <c r="AK528" s="175"/>
      <c r="AL528" s="175"/>
      <c r="AM528" s="175"/>
      <c r="AN528" s="175"/>
      <c r="AO528" s="175"/>
      <c r="AP528" s="175"/>
      <c r="AS528" s="3"/>
      <c r="BD528" s="97"/>
      <c r="EL528" s="3"/>
      <c r="EM528" s="3"/>
    </row>
    <row r="529" spans="9:143">
      <c r="I529" s="34"/>
      <c r="J529" s="156" t="s">
        <v>1676</v>
      </c>
      <c r="K529" s="156" t="s">
        <v>1676</v>
      </c>
      <c r="L529" s="35">
        <v>4</v>
      </c>
      <c r="M529" s="35">
        <v>3</v>
      </c>
      <c r="N529" s="35">
        <v>18</v>
      </c>
      <c r="O529" s="35">
        <v>36</v>
      </c>
      <c r="P529" s="35">
        <v>25</v>
      </c>
      <c r="Q529" s="35">
        <v>1</v>
      </c>
      <c r="R529" s="22" t="s">
        <v>1677</v>
      </c>
      <c r="S529" s="35" t="s">
        <v>1678</v>
      </c>
      <c r="AJ529" s="175"/>
      <c r="AK529" s="175"/>
      <c r="AL529" s="175"/>
      <c r="AM529" s="175"/>
      <c r="AN529" s="175"/>
      <c r="AO529" s="175"/>
      <c r="AP529" s="175"/>
      <c r="AS529" s="3"/>
      <c r="BD529" s="97"/>
      <c r="EL529" s="3"/>
      <c r="EM529" s="3"/>
    </row>
    <row r="530" spans="9:143">
      <c r="I530" s="34"/>
      <c r="J530" s="156" t="s">
        <v>1679</v>
      </c>
      <c r="K530" s="156" t="s">
        <v>1679</v>
      </c>
      <c r="L530" s="35">
        <v>4</v>
      </c>
      <c r="M530" s="35">
        <v>6</v>
      </c>
      <c r="N530" s="35">
        <v>59.4</v>
      </c>
      <c r="O530" s="35">
        <v>60</v>
      </c>
      <c r="P530" s="35">
        <v>55</v>
      </c>
      <c r="Q530" s="35">
        <v>14</v>
      </c>
      <c r="R530" s="22" t="s">
        <v>1680</v>
      </c>
      <c r="S530" s="35" t="s">
        <v>1681</v>
      </c>
      <c r="AJ530" s="175"/>
      <c r="AK530" s="175"/>
      <c r="AL530" s="175"/>
      <c r="AM530" s="175"/>
      <c r="AN530" s="175"/>
      <c r="AO530" s="175"/>
      <c r="AP530" s="175"/>
      <c r="AS530" s="3"/>
      <c r="BD530" s="97"/>
      <c r="EL530" s="3"/>
      <c r="EM530" s="3"/>
    </row>
    <row r="531" spans="9:143">
      <c r="I531" s="34"/>
      <c r="J531" s="156" t="s">
        <v>1682</v>
      </c>
      <c r="K531" s="156" t="s">
        <v>1682</v>
      </c>
      <c r="L531" s="35">
        <v>4</v>
      </c>
      <c r="M531" s="35">
        <v>9</v>
      </c>
      <c r="N531" s="35">
        <v>17</v>
      </c>
      <c r="O531" s="35">
        <v>30</v>
      </c>
      <c r="P531" s="35">
        <v>46</v>
      </c>
      <c r="Q531" s="35">
        <v>34</v>
      </c>
      <c r="R531" s="22" t="s">
        <v>1683</v>
      </c>
      <c r="S531" s="35" t="s">
        <v>1681</v>
      </c>
      <c r="AJ531" s="175"/>
      <c r="AK531" s="175"/>
      <c r="AL531" s="175"/>
      <c r="AM531" s="175"/>
      <c r="AN531" s="175"/>
      <c r="AO531" s="175"/>
      <c r="AP531" s="175"/>
      <c r="AS531" s="3"/>
      <c r="BD531" s="97"/>
      <c r="EL531" s="3"/>
      <c r="EM531" s="3"/>
    </row>
    <row r="532" spans="9:143">
      <c r="I532" s="34"/>
      <c r="J532" s="156" t="s">
        <v>1684</v>
      </c>
      <c r="K532" s="156" t="s">
        <v>1684</v>
      </c>
      <c r="L532" s="35">
        <v>4</v>
      </c>
      <c r="M532" s="35">
        <v>14</v>
      </c>
      <c r="N532" s="35">
        <v>15.8</v>
      </c>
      <c r="O532" s="35">
        <v>-12</v>
      </c>
      <c r="P532" s="35">
        <v>-44</v>
      </c>
      <c r="Q532" s="35">
        <v>-22</v>
      </c>
      <c r="R532" s="22" t="s">
        <v>1685</v>
      </c>
      <c r="S532" s="35" t="s">
        <v>1686</v>
      </c>
      <c r="AJ532" s="175"/>
      <c r="AK532" s="175"/>
      <c r="AL532" s="175"/>
      <c r="AM532" s="175"/>
      <c r="AN532" s="175"/>
      <c r="AO532" s="175"/>
      <c r="AP532" s="175"/>
      <c r="AS532" s="3"/>
      <c r="BD532" s="97"/>
      <c r="EL532" s="3"/>
      <c r="EM532" s="3"/>
    </row>
    <row r="533" spans="9:143">
      <c r="I533" s="34"/>
      <c r="J533" s="156" t="s">
        <v>1687</v>
      </c>
      <c r="K533" s="156" t="s">
        <v>1687</v>
      </c>
      <c r="L533" s="35">
        <v>4</v>
      </c>
      <c r="M533" s="35">
        <v>31</v>
      </c>
      <c r="N533" s="35">
        <v>39.9</v>
      </c>
      <c r="O533" s="35">
        <v>-5</v>
      </c>
      <c r="P533" s="35">
        <v>-5</v>
      </c>
      <c r="Q533" s="35">
        <v>-10</v>
      </c>
      <c r="R533" s="35" t="s">
        <v>1688</v>
      </c>
      <c r="S533" s="35" t="s">
        <v>1689</v>
      </c>
      <c r="AJ533" s="175"/>
      <c r="AK533" s="175"/>
      <c r="AL533" s="175"/>
      <c r="AM533" s="175"/>
      <c r="AN533" s="175"/>
      <c r="AO533" s="175"/>
      <c r="AP533" s="175"/>
      <c r="AS533" s="3"/>
      <c r="BD533" s="97"/>
      <c r="EL533" s="3"/>
      <c r="EM533" s="3"/>
    </row>
    <row r="534" spans="9:143">
      <c r="I534" s="34"/>
      <c r="J534" s="156" t="s">
        <v>1690</v>
      </c>
      <c r="K534" s="156" t="s">
        <v>1690</v>
      </c>
      <c r="L534" s="35">
        <v>4</v>
      </c>
      <c r="M534" s="35">
        <v>41</v>
      </c>
      <c r="N534" s="35">
        <v>28.2</v>
      </c>
      <c r="O534" s="35">
        <v>-2</v>
      </c>
      <c r="P534" s="35">
        <v>-51</v>
      </c>
      <c r="Q534" s="35">
        <v>-29</v>
      </c>
      <c r="R534" s="35" t="s">
        <v>1691</v>
      </c>
      <c r="S534" s="35" t="s">
        <v>1692</v>
      </c>
      <c r="AJ534" s="175"/>
      <c r="AK534" s="175"/>
      <c r="AL534" s="175"/>
      <c r="AM534" s="175"/>
      <c r="AN534" s="175"/>
      <c r="AO534" s="175"/>
      <c r="AP534" s="175"/>
      <c r="AS534" s="3"/>
      <c r="BD534" s="97"/>
      <c r="EL534" s="3"/>
      <c r="EM534" s="3"/>
    </row>
    <row r="535" spans="9:143">
      <c r="I535" s="34"/>
      <c r="J535" s="156" t="s">
        <v>1693</v>
      </c>
      <c r="K535" s="156" t="s">
        <v>1693</v>
      </c>
      <c r="L535" s="35">
        <v>4</v>
      </c>
      <c r="M535" s="35">
        <v>45</v>
      </c>
      <c r="N535" s="35">
        <v>55</v>
      </c>
      <c r="O535" s="35">
        <v>19</v>
      </c>
      <c r="P535" s="35">
        <v>6</v>
      </c>
      <c r="Q535" s="35">
        <v>5</v>
      </c>
      <c r="R535" s="22" t="s">
        <v>1694</v>
      </c>
      <c r="S535" s="35" t="s">
        <v>1681</v>
      </c>
      <c r="AJ535" s="175"/>
      <c r="AK535" s="175"/>
      <c r="AL535" s="175"/>
      <c r="AM535" s="175"/>
      <c r="AN535" s="175"/>
      <c r="AO535" s="175"/>
      <c r="AP535" s="175"/>
      <c r="AS535" s="3"/>
      <c r="BD535" s="97"/>
      <c r="EL535" s="3"/>
      <c r="EM535" s="3"/>
    </row>
    <row r="536" spans="9:143">
      <c r="I536" s="34"/>
      <c r="J536" s="156" t="s">
        <v>1695</v>
      </c>
      <c r="K536" s="156" t="s">
        <v>1695</v>
      </c>
      <c r="L536" s="35">
        <v>4</v>
      </c>
      <c r="M536" s="35">
        <v>48</v>
      </c>
      <c r="N536" s="35">
        <v>27</v>
      </c>
      <c r="O536" s="35">
        <v>10</v>
      </c>
      <c r="P536" s="35">
        <v>56</v>
      </c>
      <c r="Q536" s="35">
        <v>1</v>
      </c>
      <c r="R536" s="22" t="s">
        <v>1696</v>
      </c>
      <c r="S536" s="35" t="s">
        <v>1681</v>
      </c>
      <c r="AJ536" s="175"/>
      <c r="AK536" s="175"/>
      <c r="AL536" s="175"/>
      <c r="AM536" s="175"/>
      <c r="AN536" s="175"/>
      <c r="AO536" s="175"/>
      <c r="AP536" s="175"/>
      <c r="AS536" s="3"/>
      <c r="BD536" s="97"/>
      <c r="EL536" s="3"/>
      <c r="EM536" s="3"/>
    </row>
    <row r="537" spans="9:143">
      <c r="I537" s="34"/>
      <c r="J537" s="156" t="s">
        <v>1697</v>
      </c>
      <c r="K537" s="156" t="s">
        <v>1697</v>
      </c>
      <c r="L537" s="35">
        <v>5</v>
      </c>
      <c r="M537" s="35">
        <v>20</v>
      </c>
      <c r="N537" s="35">
        <v>3</v>
      </c>
      <c r="O537" s="35">
        <v>39</v>
      </c>
      <c r="P537" s="35">
        <v>17</v>
      </c>
      <c r="Q537" s="35">
        <v>2</v>
      </c>
      <c r="R537" s="22" t="s">
        <v>1698</v>
      </c>
      <c r="S537" s="35" t="s">
        <v>1681</v>
      </c>
      <c r="AJ537" s="175"/>
      <c r="AK537" s="175"/>
      <c r="AL537" s="175"/>
      <c r="AM537" s="175"/>
      <c r="AN537" s="175"/>
      <c r="AO537" s="175"/>
      <c r="AP537" s="175"/>
      <c r="AS537" s="3"/>
      <c r="BD537" s="97"/>
      <c r="EL537" s="3"/>
      <c r="EM537" s="3"/>
    </row>
    <row r="538" spans="9:143">
      <c r="I538" s="34"/>
      <c r="J538" s="156" t="s">
        <v>1699</v>
      </c>
      <c r="K538" s="156" t="s">
        <v>1699</v>
      </c>
      <c r="L538" s="35">
        <v>5</v>
      </c>
      <c r="M538" s="35">
        <v>28</v>
      </c>
      <c r="N538" s="35">
        <v>5</v>
      </c>
      <c r="O538" s="35">
        <v>35</v>
      </c>
      <c r="P538" s="35">
        <v>19</v>
      </c>
      <c r="Q538" s="35">
        <v>3</v>
      </c>
      <c r="R538" s="22" t="s">
        <v>1700</v>
      </c>
      <c r="S538" s="35" t="s">
        <v>1701</v>
      </c>
      <c r="AJ538" s="175"/>
      <c r="AK538" s="175"/>
      <c r="AL538" s="175"/>
      <c r="AM538" s="175"/>
      <c r="AN538" s="175"/>
      <c r="AO538" s="175"/>
      <c r="AP538" s="175"/>
      <c r="AS538" s="3"/>
      <c r="BD538" s="97"/>
      <c r="EL538" s="3"/>
      <c r="EM538" s="3"/>
    </row>
    <row r="539" spans="9:143">
      <c r="I539" s="34"/>
      <c r="J539" s="156" t="s">
        <v>1702</v>
      </c>
      <c r="K539" s="156" t="s">
        <v>1702</v>
      </c>
      <c r="L539" s="35">
        <v>5</v>
      </c>
      <c r="M539" s="35">
        <v>33</v>
      </c>
      <c r="N539" s="35">
        <v>21.8</v>
      </c>
      <c r="O539" s="35">
        <v>-21</v>
      </c>
      <c r="P539" s="35">
        <v>-56</v>
      </c>
      <c r="Q539" s="35">
        <v>-45</v>
      </c>
      <c r="R539" s="35" t="s">
        <v>1703</v>
      </c>
      <c r="S539" s="35" t="s">
        <v>1704</v>
      </c>
      <c r="AJ539" s="175"/>
      <c r="AK539" s="175"/>
      <c r="AL539" s="175"/>
      <c r="AM539" s="175"/>
      <c r="AN539" s="175"/>
      <c r="AO539" s="175"/>
      <c r="AP539" s="175"/>
      <c r="AS539" s="3"/>
      <c r="BD539" s="97"/>
      <c r="EL539" s="3"/>
      <c r="EM539" s="3"/>
    </row>
    <row r="540" spans="9:143">
      <c r="I540" s="34"/>
      <c r="J540" s="156" t="s">
        <v>1705</v>
      </c>
      <c r="K540" s="156" t="s">
        <v>1705</v>
      </c>
      <c r="L540" s="35">
        <v>5</v>
      </c>
      <c r="M540" s="35">
        <v>42</v>
      </c>
      <c r="N540" s="35">
        <v>6.2</v>
      </c>
      <c r="O540" s="35">
        <v>9</v>
      </c>
      <c r="P540" s="35">
        <v>5</v>
      </c>
      <c r="Q540" s="35">
        <v>10</v>
      </c>
      <c r="R540" s="22" t="s">
        <v>1706</v>
      </c>
      <c r="S540" s="35" t="s">
        <v>1681</v>
      </c>
      <c r="AJ540" s="175"/>
      <c r="AK540" s="175"/>
      <c r="AL540" s="175"/>
      <c r="AM540" s="175"/>
      <c r="AN540" s="175"/>
      <c r="AO540" s="175"/>
      <c r="AP540" s="175"/>
      <c r="AS540" s="3"/>
      <c r="BD540" s="97"/>
      <c r="EL540" s="3"/>
      <c r="EM540" s="3"/>
    </row>
    <row r="541" spans="9:143">
      <c r="I541" s="34"/>
      <c r="J541" s="156" t="s">
        <v>1707</v>
      </c>
      <c r="K541" s="156" t="s">
        <v>1707</v>
      </c>
      <c r="L541" s="35">
        <v>5</v>
      </c>
      <c r="M541" s="35">
        <v>47</v>
      </c>
      <c r="N541" s="35">
        <v>9</v>
      </c>
      <c r="O541" s="35">
        <v>0</v>
      </c>
      <c r="P541" s="35">
        <v>18</v>
      </c>
      <c r="Q541" s="35">
        <v>0</v>
      </c>
      <c r="R541" s="22" t="s">
        <v>1708</v>
      </c>
      <c r="S541" s="35" t="s">
        <v>1557</v>
      </c>
      <c r="AJ541" s="175"/>
      <c r="AK541" s="175"/>
      <c r="AL541" s="175"/>
      <c r="AM541" s="175"/>
      <c r="AN541" s="175"/>
      <c r="AO541" s="175"/>
      <c r="AP541" s="175"/>
      <c r="AS541" s="3"/>
      <c r="BD541" s="97"/>
      <c r="EL541" s="3"/>
      <c r="EM541" s="3"/>
    </row>
    <row r="542" spans="9:143">
      <c r="I542" s="34"/>
      <c r="J542" s="156" t="s">
        <v>1709</v>
      </c>
      <c r="K542" s="156" t="s">
        <v>1709</v>
      </c>
      <c r="L542" s="35">
        <v>6</v>
      </c>
      <c r="M542" s="35">
        <v>12</v>
      </c>
      <c r="N542" s="35">
        <v>9.6</v>
      </c>
      <c r="O542" s="35">
        <v>-21</v>
      </c>
      <c r="P542" s="35">
        <v>-48</v>
      </c>
      <c r="Q542" s="35">
        <v>-21</v>
      </c>
      <c r="R542" s="35" t="s">
        <v>1710</v>
      </c>
      <c r="S542" s="35" t="s">
        <v>1594</v>
      </c>
      <c r="AJ542" s="175"/>
      <c r="AK542" s="175"/>
      <c r="AL542" s="175"/>
      <c r="AM542" s="175"/>
      <c r="AN542" s="175"/>
      <c r="AO542" s="175"/>
      <c r="AP542" s="175"/>
      <c r="AS542" s="3"/>
      <c r="BD542" s="97"/>
      <c r="EL542" s="3"/>
      <c r="EM542" s="3"/>
    </row>
    <row r="543" spans="9:143">
      <c r="I543" s="34"/>
      <c r="J543" s="156" t="s">
        <v>1711</v>
      </c>
      <c r="K543" s="156" t="s">
        <v>1711</v>
      </c>
      <c r="L543" s="35">
        <v>6</v>
      </c>
      <c r="M543" s="35">
        <v>27</v>
      </c>
      <c r="N543" s="35">
        <v>15</v>
      </c>
      <c r="O543" s="35">
        <v>-4</v>
      </c>
      <c r="P543" s="35">
        <v>-45</v>
      </c>
      <c r="Q543" s="35">
        <v>-3</v>
      </c>
      <c r="R543" s="22" t="s">
        <v>1712</v>
      </c>
      <c r="S543" s="35" t="s">
        <v>1713</v>
      </c>
      <c r="AJ543" s="175"/>
      <c r="AK543" s="175"/>
      <c r="AL543" s="175"/>
      <c r="AM543" s="175"/>
      <c r="AN543" s="175"/>
      <c r="AO543" s="175"/>
      <c r="AP543" s="175"/>
      <c r="AS543" s="3"/>
      <c r="BD543" s="97"/>
      <c r="EL543" s="3"/>
      <c r="EM543" s="3"/>
    </row>
    <row r="544" spans="9:143">
      <c r="I544" s="34"/>
      <c r="J544" s="156" t="s">
        <v>1714</v>
      </c>
      <c r="K544" s="156" t="s">
        <v>1714</v>
      </c>
      <c r="L544" s="35">
        <v>6</v>
      </c>
      <c r="M544" s="35">
        <v>31</v>
      </c>
      <c r="N544" s="35">
        <v>55</v>
      </c>
      <c r="O544" s="35">
        <v>4</v>
      </c>
      <c r="P544" s="35">
        <v>56</v>
      </c>
      <c r="Q544" s="35">
        <v>3</v>
      </c>
      <c r="R544" s="22" t="s">
        <v>1715</v>
      </c>
      <c r="S544" s="35" t="s">
        <v>1716</v>
      </c>
      <c r="AJ544" s="175"/>
      <c r="AK544" s="175"/>
      <c r="AL544" s="175"/>
      <c r="AM544" s="175"/>
      <c r="AN544" s="175"/>
      <c r="AO544" s="175"/>
      <c r="AP544" s="175"/>
      <c r="AS544" s="3"/>
      <c r="BD544" s="97"/>
      <c r="EL544" s="3"/>
      <c r="EM544" s="3"/>
    </row>
    <row r="545" spans="9:143">
      <c r="I545" s="34"/>
      <c r="J545" s="156" t="s">
        <v>1717</v>
      </c>
      <c r="K545" s="156" t="s">
        <v>1717</v>
      </c>
      <c r="L545" s="35">
        <v>6</v>
      </c>
      <c r="M545" s="35">
        <v>40</v>
      </c>
      <c r="N545" s="35">
        <v>58</v>
      </c>
      <c r="O545" s="35">
        <v>9</v>
      </c>
      <c r="P545" s="35">
        <v>53</v>
      </c>
      <c r="Q545" s="35">
        <v>4</v>
      </c>
      <c r="R545" s="22" t="s">
        <v>1718</v>
      </c>
      <c r="S545" s="35" t="s">
        <v>1719</v>
      </c>
      <c r="AJ545" s="175"/>
      <c r="AK545" s="175"/>
      <c r="AL545" s="175"/>
      <c r="AM545" s="175"/>
      <c r="AN545" s="175"/>
      <c r="AO545" s="175"/>
      <c r="AP545" s="175"/>
      <c r="AS545" s="3"/>
      <c r="BD545" s="97"/>
      <c r="EL545" s="3"/>
      <c r="EM545" s="3"/>
    </row>
    <row r="546" spans="9:143">
      <c r="I546" s="34"/>
      <c r="J546" s="156" t="s">
        <v>1720</v>
      </c>
      <c r="K546" s="156" t="s">
        <v>1720</v>
      </c>
      <c r="L546" s="35">
        <v>7</v>
      </c>
      <c r="M546" s="35">
        <v>27</v>
      </c>
      <c r="N546" s="35">
        <v>14.5</v>
      </c>
      <c r="O546" s="35">
        <v>85</v>
      </c>
      <c r="P546" s="35">
        <v>45</v>
      </c>
      <c r="Q546" s="35">
        <v>16</v>
      </c>
      <c r="R546" s="22" t="s">
        <v>1721</v>
      </c>
      <c r="S546" s="128" t="s">
        <v>1722</v>
      </c>
      <c r="AJ546" s="175"/>
      <c r="AK546" s="175"/>
      <c r="AL546" s="175"/>
      <c r="AM546" s="175"/>
      <c r="AN546" s="175"/>
      <c r="AO546" s="175"/>
      <c r="AP546" s="175"/>
      <c r="AS546" s="3"/>
      <c r="BD546" s="97"/>
      <c r="EL546" s="3"/>
      <c r="EM546" s="3"/>
    </row>
    <row r="547" spans="9:143">
      <c r="I547" s="34"/>
      <c r="J547" s="156" t="s">
        <v>1723</v>
      </c>
      <c r="K547" s="156" t="s">
        <v>1723</v>
      </c>
      <c r="L547" s="35">
        <v>7</v>
      </c>
      <c r="M547" s="35">
        <v>32</v>
      </c>
      <c r="N547" s="35">
        <v>20.5</v>
      </c>
      <c r="O547" s="35">
        <v>85</v>
      </c>
      <c r="P547" s="35">
        <v>42</v>
      </c>
      <c r="Q547" s="35">
        <v>32</v>
      </c>
      <c r="R547" s="22" t="s">
        <v>1724</v>
      </c>
      <c r="S547" s="22" t="s">
        <v>1725</v>
      </c>
      <c r="AJ547" s="175"/>
      <c r="AK547" s="175"/>
      <c r="AL547" s="175"/>
      <c r="AM547" s="175"/>
      <c r="AN547" s="175"/>
      <c r="AO547" s="175"/>
      <c r="AP547" s="175"/>
      <c r="AS547" s="3"/>
      <c r="BD547" s="97"/>
      <c r="EL547" s="3"/>
      <c r="EM547" s="3"/>
    </row>
    <row r="548" spans="9:143">
      <c r="I548" s="34"/>
      <c r="J548" s="156" t="s">
        <v>1726</v>
      </c>
      <c r="K548" s="156" t="s">
        <v>1726</v>
      </c>
      <c r="L548" s="35">
        <v>7</v>
      </c>
      <c r="M548" s="35">
        <v>27</v>
      </c>
      <c r="N548" s="35">
        <v>4</v>
      </c>
      <c r="O548" s="35">
        <v>80</v>
      </c>
      <c r="P548" s="35">
        <v>10</v>
      </c>
      <c r="Q548" s="35">
        <v>41</v>
      </c>
      <c r="R548" s="22" t="s">
        <v>1727</v>
      </c>
      <c r="S548" s="128" t="s">
        <v>1728</v>
      </c>
      <c r="AJ548" s="175"/>
      <c r="AK548" s="175"/>
      <c r="AL548" s="175"/>
      <c r="AM548" s="175"/>
      <c r="AN548" s="175"/>
      <c r="AO548" s="175"/>
      <c r="AP548" s="175"/>
      <c r="AS548" s="3"/>
      <c r="BD548" s="97"/>
      <c r="EL548" s="3"/>
      <c r="EM548" s="3"/>
    </row>
    <row r="549" spans="9:143">
      <c r="I549" s="34"/>
      <c r="J549" s="156" t="s">
        <v>1729</v>
      </c>
      <c r="K549" s="156" t="s">
        <v>1729</v>
      </c>
      <c r="L549" s="35">
        <v>7</v>
      </c>
      <c r="M549" s="35">
        <v>25</v>
      </c>
      <c r="N549" s="35">
        <v>34.700000000000003</v>
      </c>
      <c r="O549" s="35">
        <v>29</v>
      </c>
      <c r="P549" s="35">
        <v>29</v>
      </c>
      <c r="Q549" s="35">
        <v>26</v>
      </c>
      <c r="R549" s="22" t="s">
        <v>1730</v>
      </c>
      <c r="S549" s="35" t="s">
        <v>1557</v>
      </c>
      <c r="AJ549" s="175"/>
      <c r="AK549" s="175"/>
      <c r="AL549" s="175"/>
      <c r="AM549" s="175"/>
      <c r="AN549" s="175"/>
      <c r="AO549" s="175"/>
      <c r="AP549" s="175"/>
      <c r="AS549" s="3"/>
      <c r="BD549" s="97"/>
      <c r="EL549" s="3"/>
      <c r="EM549" s="3"/>
    </row>
    <row r="550" spans="9:143">
      <c r="I550" s="34"/>
      <c r="J550" s="156" t="s">
        <v>1731</v>
      </c>
      <c r="K550" s="156" t="s">
        <v>1731</v>
      </c>
      <c r="L550" s="35">
        <v>7</v>
      </c>
      <c r="M550" s="35">
        <v>29</v>
      </c>
      <c r="N550" s="35">
        <v>10.8</v>
      </c>
      <c r="O550" s="35">
        <v>20</v>
      </c>
      <c r="P550" s="35">
        <v>54</v>
      </c>
      <c r="Q550" s="35">
        <v>42</v>
      </c>
      <c r="R550" s="22" t="s">
        <v>1732</v>
      </c>
      <c r="S550" s="22" t="s">
        <v>1733</v>
      </c>
      <c r="AJ550" s="175"/>
      <c r="AK550" s="175"/>
      <c r="AL550" s="175"/>
      <c r="AM550" s="175"/>
      <c r="AN550" s="175"/>
      <c r="AO550" s="175"/>
      <c r="AP550" s="175"/>
      <c r="AS550" s="3"/>
      <c r="BD550" s="97"/>
      <c r="EL550" s="3"/>
      <c r="EM550" s="3"/>
    </row>
    <row r="551" spans="9:143">
      <c r="I551" s="34"/>
      <c r="J551" s="156" t="s">
        <v>1734</v>
      </c>
      <c r="K551" s="156" t="s">
        <v>1734</v>
      </c>
      <c r="L551" s="35">
        <v>7</v>
      </c>
      <c r="M551" s="35">
        <v>36</v>
      </c>
      <c r="N551" s="35">
        <v>51.4</v>
      </c>
      <c r="O551" s="35">
        <v>65</v>
      </c>
      <c r="P551" s="35">
        <v>36</v>
      </c>
      <c r="Q551" s="35">
        <v>9</v>
      </c>
      <c r="R551" s="22" t="s">
        <v>1735</v>
      </c>
      <c r="S551" s="22" t="s">
        <v>1736</v>
      </c>
      <c r="AJ551" s="175"/>
      <c r="AK551" s="175"/>
      <c r="AL551" s="175"/>
      <c r="AM551" s="175"/>
      <c r="AN551" s="175"/>
      <c r="AO551" s="175"/>
      <c r="AP551" s="175"/>
      <c r="AS551" s="3"/>
      <c r="BD551" s="97"/>
      <c r="EL551" s="3"/>
      <c r="EM551" s="3"/>
    </row>
    <row r="552" spans="9:143">
      <c r="I552" s="34"/>
      <c r="J552" s="156" t="s">
        <v>1737</v>
      </c>
      <c r="K552" s="156" t="s">
        <v>1737</v>
      </c>
      <c r="L552" s="35">
        <v>7</v>
      </c>
      <c r="M552" s="35">
        <v>41</v>
      </c>
      <c r="N552" s="35">
        <v>50.5</v>
      </c>
      <c r="O552" s="35">
        <v>-14</v>
      </c>
      <c r="P552" s="35">
        <v>-44</v>
      </c>
      <c r="Q552" s="35">
        <v>-8</v>
      </c>
      <c r="R552" s="22" t="s">
        <v>1738</v>
      </c>
      <c r="S552" s="35" t="s">
        <v>1557</v>
      </c>
      <c r="AJ552" s="175"/>
      <c r="AK552" s="175"/>
      <c r="AL552" s="175"/>
      <c r="AM552" s="175"/>
      <c r="AN552" s="175"/>
      <c r="AO552" s="175"/>
      <c r="AP552" s="175"/>
      <c r="AS552" s="3"/>
      <c r="BD552" s="97"/>
      <c r="EL552" s="3"/>
      <c r="EM552" s="3"/>
    </row>
    <row r="553" spans="9:143">
      <c r="I553" s="34"/>
      <c r="J553" s="156" t="s">
        <v>1739</v>
      </c>
      <c r="K553" s="156" t="s">
        <v>1739</v>
      </c>
      <c r="L553" s="35">
        <v>8</v>
      </c>
      <c r="M553" s="35">
        <v>33</v>
      </c>
      <c r="N553" s="35">
        <v>22.8</v>
      </c>
      <c r="O553" s="35">
        <v>-22</v>
      </c>
      <c r="P553" s="35">
        <v>-58</v>
      </c>
      <c r="Q553" s="35">
        <v>-25</v>
      </c>
      <c r="R553" s="35" t="s">
        <v>1740</v>
      </c>
      <c r="S553" s="35" t="s">
        <v>1607</v>
      </c>
      <c r="AJ553" s="175"/>
      <c r="AK553" s="175"/>
      <c r="AL553" s="175"/>
      <c r="AM553" s="175"/>
      <c r="AN553" s="175"/>
      <c r="AO553" s="175"/>
      <c r="AP553" s="175"/>
      <c r="AS553" s="3"/>
      <c r="BD553" s="97"/>
      <c r="EL553" s="3"/>
      <c r="EM553" s="3"/>
    </row>
    <row r="554" spans="9:143">
      <c r="I554" s="34"/>
      <c r="J554" s="156" t="s">
        <v>1741</v>
      </c>
      <c r="K554" s="156" t="s">
        <v>1741</v>
      </c>
      <c r="L554" s="35">
        <v>8</v>
      </c>
      <c r="M554" s="35">
        <v>52</v>
      </c>
      <c r="N554" s="35">
        <v>41.3</v>
      </c>
      <c r="O554" s="35">
        <v>33</v>
      </c>
      <c r="P554" s="35">
        <v>25</v>
      </c>
      <c r="Q554" s="35">
        <v>18</v>
      </c>
      <c r="R554" s="22" t="s">
        <v>1742</v>
      </c>
      <c r="S554" s="35" t="s">
        <v>1743</v>
      </c>
      <c r="AJ554" s="175"/>
      <c r="AK554" s="175"/>
      <c r="AL554" s="175"/>
      <c r="AM554" s="175"/>
      <c r="AN554" s="175"/>
      <c r="AO554" s="175"/>
      <c r="AP554" s="175"/>
      <c r="AS554" s="3"/>
      <c r="BD554" s="97"/>
      <c r="EL554" s="3"/>
      <c r="EM554" s="3"/>
    </row>
    <row r="555" spans="9:143">
      <c r="I555" s="34"/>
      <c r="J555" s="156" t="s">
        <v>1744</v>
      </c>
      <c r="K555" s="156" t="s">
        <v>1744</v>
      </c>
      <c r="L555" s="35">
        <v>9</v>
      </c>
      <c r="M555" s="35">
        <v>11</v>
      </c>
      <c r="N555" s="35">
        <v>37.5</v>
      </c>
      <c r="O555" s="35">
        <v>60</v>
      </c>
      <c r="P555" s="35">
        <v>2</v>
      </c>
      <c r="Q555" s="35">
        <v>14</v>
      </c>
      <c r="R555" s="22" t="s">
        <v>1745</v>
      </c>
      <c r="S555" s="22" t="s">
        <v>1746</v>
      </c>
      <c r="AJ555" s="175"/>
      <c r="AK555" s="175"/>
      <c r="AL555" s="175"/>
      <c r="AM555" s="175"/>
      <c r="AN555" s="175"/>
      <c r="AO555" s="175"/>
      <c r="AP555" s="175"/>
      <c r="AS555" s="3"/>
      <c r="BD555" s="97"/>
      <c r="EL555" s="3"/>
      <c r="EM555" s="3"/>
    </row>
    <row r="556" spans="9:143">
      <c r="I556" s="34"/>
      <c r="J556" s="156" t="s">
        <v>1747</v>
      </c>
      <c r="K556" s="156" t="s">
        <v>1747</v>
      </c>
      <c r="L556" s="35">
        <v>9</v>
      </c>
      <c r="M556" s="35">
        <v>22</v>
      </c>
      <c r="N556" s="35">
        <v>2.7</v>
      </c>
      <c r="O556" s="35">
        <v>50</v>
      </c>
      <c r="P556" s="35">
        <v>58</v>
      </c>
      <c r="Q556" s="35">
        <v>35</v>
      </c>
      <c r="R556" s="22" t="s">
        <v>1748</v>
      </c>
      <c r="S556" s="22" t="s">
        <v>1749</v>
      </c>
      <c r="AJ556" s="175"/>
      <c r="AK556" s="175"/>
      <c r="AL556" s="175"/>
      <c r="AM556" s="175"/>
      <c r="AN556" s="175"/>
      <c r="AO556" s="175"/>
      <c r="AP556" s="175"/>
      <c r="AS556" s="3"/>
      <c r="BD556" s="97"/>
      <c r="EL556" s="3"/>
      <c r="EM556" s="3"/>
    </row>
    <row r="557" spans="9:143">
      <c r="I557" s="34"/>
      <c r="J557" s="156" t="s">
        <v>1750</v>
      </c>
      <c r="K557" s="156" t="s">
        <v>1750</v>
      </c>
      <c r="L557" s="35">
        <v>9</v>
      </c>
      <c r="M557" s="35">
        <v>32</v>
      </c>
      <c r="N557" s="35">
        <v>10.1</v>
      </c>
      <c r="O557" s="35">
        <v>21</v>
      </c>
      <c r="P557" s="35">
        <v>30</v>
      </c>
      <c r="Q557" s="35">
        <v>3</v>
      </c>
      <c r="R557" s="22" t="s">
        <v>1751</v>
      </c>
      <c r="S557" s="35" t="s">
        <v>1752</v>
      </c>
      <c r="AJ557" s="175"/>
      <c r="AK557" s="175"/>
      <c r="AL557" s="175"/>
      <c r="AM557" s="175"/>
      <c r="AN557" s="175"/>
      <c r="AO557" s="175"/>
      <c r="AP557" s="175"/>
      <c r="AS557" s="3"/>
      <c r="BD557" s="97"/>
      <c r="EL557" s="3"/>
      <c r="EM557" s="3"/>
    </row>
    <row r="558" spans="9:143">
      <c r="I558" s="34"/>
      <c r="J558" s="156" t="s">
        <v>1753</v>
      </c>
      <c r="K558" s="156" t="s">
        <v>1753</v>
      </c>
      <c r="L558" s="35">
        <v>9</v>
      </c>
      <c r="M558" s="35">
        <v>47</v>
      </c>
      <c r="N558" s="35">
        <v>15.5</v>
      </c>
      <c r="O558" s="35">
        <v>67</v>
      </c>
      <c r="P558" s="35">
        <v>54</v>
      </c>
      <c r="Q558" s="35">
        <v>59</v>
      </c>
      <c r="R558" s="22" t="s">
        <v>1754</v>
      </c>
      <c r="S558" s="22" t="s">
        <v>1589</v>
      </c>
      <c r="V558" s="5"/>
      <c r="W558" s="5"/>
      <c r="X558" s="283" t="s">
        <v>3101</v>
      </c>
      <c r="Y558" s="5"/>
      <c r="Z558" s="342"/>
      <c r="AA558" s="5"/>
      <c r="AB558" s="5"/>
      <c r="AC558" s="5"/>
      <c r="AD558" s="5"/>
      <c r="AE558" s="5"/>
      <c r="AF558" s="5"/>
      <c r="AG558" s="5"/>
      <c r="AJ558" s="175"/>
      <c r="AK558" s="175"/>
      <c r="AL558" s="175"/>
      <c r="AM558" s="175"/>
      <c r="AN558" s="175"/>
      <c r="AO558" s="175"/>
      <c r="AP558" s="175"/>
      <c r="AS558" s="3"/>
      <c r="BD558" s="97"/>
      <c r="EL558" s="3"/>
      <c r="EM558" s="3"/>
    </row>
    <row r="559" spans="9:143">
      <c r="I559" s="34"/>
      <c r="J559" s="156" t="s">
        <v>1755</v>
      </c>
      <c r="K559" s="156" t="s">
        <v>1755</v>
      </c>
      <c r="L559" s="22">
        <v>10</v>
      </c>
      <c r="M559" s="22">
        <v>3</v>
      </c>
      <c r="N559" s="22">
        <v>19.100000000000001</v>
      </c>
      <c r="O559" s="22">
        <v>68</v>
      </c>
      <c r="P559" s="22">
        <v>44</v>
      </c>
      <c r="Q559" s="22">
        <v>2</v>
      </c>
      <c r="R559" s="22" t="s">
        <v>1756</v>
      </c>
      <c r="S559" s="22" t="s">
        <v>1757</v>
      </c>
      <c r="AJ559" s="175"/>
      <c r="AK559" s="175"/>
      <c r="AL559" s="175"/>
      <c r="AM559" s="175"/>
      <c r="AN559" s="175"/>
      <c r="AO559" s="175"/>
      <c r="AP559" s="175"/>
      <c r="AS559" s="3"/>
      <c r="BD559" s="97"/>
      <c r="EL559" s="3"/>
      <c r="EM559" s="3"/>
    </row>
    <row r="560" spans="9:143">
      <c r="I560" s="34"/>
      <c r="J560" s="156" t="s">
        <v>1758</v>
      </c>
      <c r="K560" s="156" t="s">
        <v>1758</v>
      </c>
      <c r="L560" s="22">
        <v>10</v>
      </c>
      <c r="M560" s="22">
        <v>5</v>
      </c>
      <c r="N560" s="22">
        <v>14</v>
      </c>
      <c r="O560" s="22">
        <v>-7</v>
      </c>
      <c r="P560" s="22">
        <v>-43</v>
      </c>
      <c r="Q560" s="22">
        <v>-7</v>
      </c>
      <c r="R560" s="22" t="s">
        <v>1759</v>
      </c>
      <c r="S560" s="35" t="s">
        <v>1760</v>
      </c>
      <c r="AJ560" s="175"/>
      <c r="AK560" s="175"/>
      <c r="AL560" s="175"/>
      <c r="AM560" s="175"/>
      <c r="AN560" s="175"/>
      <c r="AO560" s="175"/>
      <c r="AP560" s="175"/>
      <c r="AS560" s="3"/>
      <c r="BD560" s="97"/>
      <c r="EL560" s="3"/>
      <c r="EM560" s="3"/>
    </row>
    <row r="561" spans="9:143">
      <c r="I561" s="34"/>
      <c r="J561" s="156" t="s">
        <v>1761</v>
      </c>
      <c r="K561" s="156" t="s">
        <v>1761</v>
      </c>
      <c r="L561" s="22">
        <v>10</v>
      </c>
      <c r="M561" s="22">
        <v>13</v>
      </c>
      <c r="N561" s="22">
        <v>45.7</v>
      </c>
      <c r="O561" s="22">
        <v>3</v>
      </c>
      <c r="P561" s="22">
        <v>25</v>
      </c>
      <c r="Q561" s="22">
        <v>29</v>
      </c>
      <c r="R561" s="35" t="s">
        <v>1762</v>
      </c>
      <c r="S561" s="35" t="s">
        <v>1763</v>
      </c>
      <c r="AI561" s="5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BD561" s="97"/>
      <c r="EL561" s="3"/>
      <c r="EM561" s="3"/>
    </row>
    <row r="562" spans="9:143">
      <c r="I562" s="34"/>
      <c r="J562" s="156" t="s">
        <v>1764</v>
      </c>
      <c r="K562" s="156" t="s">
        <v>1764</v>
      </c>
      <c r="L562" s="22">
        <v>10</v>
      </c>
      <c r="M562" s="22">
        <v>14</v>
      </c>
      <c r="N562" s="22">
        <v>15.1</v>
      </c>
      <c r="O562" s="22">
        <v>3</v>
      </c>
      <c r="P562" s="22">
        <v>7</v>
      </c>
      <c r="Q562" s="22">
        <v>58</v>
      </c>
      <c r="R562" s="35" t="s">
        <v>1765</v>
      </c>
      <c r="S562" s="35" t="s">
        <v>1763</v>
      </c>
      <c r="AJ562" s="175"/>
      <c r="AK562" s="175"/>
      <c r="AL562" s="175"/>
      <c r="AM562" s="175"/>
      <c r="AN562" s="175"/>
      <c r="AO562" s="175"/>
      <c r="AP562" s="175"/>
      <c r="AS562" s="3"/>
      <c r="BD562" s="97"/>
      <c r="EL562" s="3"/>
      <c r="EM562" s="3"/>
    </row>
    <row r="563" spans="9:143">
      <c r="I563" s="34"/>
      <c r="J563" s="156" t="s">
        <v>1766</v>
      </c>
      <c r="K563" s="156" t="s">
        <v>1766</v>
      </c>
      <c r="L563" s="22">
        <v>10</v>
      </c>
      <c r="M563" s="22">
        <v>18</v>
      </c>
      <c r="N563" s="22">
        <v>17</v>
      </c>
      <c r="O563" s="22">
        <v>41</v>
      </c>
      <c r="P563" s="22">
        <v>25</v>
      </c>
      <c r="Q563" s="22">
        <v>28</v>
      </c>
      <c r="R563" s="22" t="s">
        <v>1767</v>
      </c>
      <c r="S563" s="22" t="s">
        <v>1768</v>
      </c>
      <c r="AJ563" s="175"/>
      <c r="AK563" s="175"/>
      <c r="AL563" s="175"/>
      <c r="AM563" s="175"/>
      <c r="AN563" s="175"/>
      <c r="AO563" s="175"/>
      <c r="AP563" s="175"/>
      <c r="AS563" s="3"/>
      <c r="BD563" s="97"/>
      <c r="EL563" s="3"/>
      <c r="EM563" s="3"/>
    </row>
    <row r="564" spans="9:143">
      <c r="I564" s="34"/>
      <c r="J564" s="156" t="s">
        <v>1769</v>
      </c>
      <c r="K564" s="156" t="s">
        <v>1769</v>
      </c>
      <c r="L564" s="22">
        <v>10</v>
      </c>
      <c r="M564" s="22">
        <v>17</v>
      </c>
      <c r="N564" s="22">
        <v>38.6</v>
      </c>
      <c r="O564" s="22">
        <v>21</v>
      </c>
      <c r="P564" s="22">
        <v>41</v>
      </c>
      <c r="Q564" s="22">
        <v>18</v>
      </c>
      <c r="R564" s="22" t="s">
        <v>1770</v>
      </c>
      <c r="S564" s="128" t="s">
        <v>1771</v>
      </c>
      <c r="AJ564" s="175"/>
      <c r="AK564" s="175"/>
      <c r="AL564" s="175"/>
      <c r="AM564" s="175"/>
      <c r="AN564" s="175"/>
      <c r="AO564" s="175"/>
      <c r="AP564" s="175"/>
      <c r="AS564" s="3"/>
      <c r="BD564" s="97"/>
      <c r="EL564" s="3"/>
      <c r="EM564" s="3"/>
    </row>
    <row r="565" spans="9:143">
      <c r="I565" s="34"/>
      <c r="J565" s="156" t="s">
        <v>1772</v>
      </c>
      <c r="K565" s="156" t="s">
        <v>1772</v>
      </c>
      <c r="L565" s="22">
        <v>10</v>
      </c>
      <c r="M565" s="22">
        <v>18</v>
      </c>
      <c r="N565" s="22">
        <v>5.6</v>
      </c>
      <c r="O565" s="22">
        <v>21</v>
      </c>
      <c r="P565" s="22">
        <v>49</v>
      </c>
      <c r="Q565" s="22">
        <v>55</v>
      </c>
      <c r="R565" s="35" t="s">
        <v>1773</v>
      </c>
      <c r="S565" s="35" t="s">
        <v>1774</v>
      </c>
      <c r="AJ565" s="175"/>
      <c r="AK565" s="175"/>
      <c r="AL565" s="175"/>
      <c r="AM565" s="175"/>
      <c r="AN565" s="175"/>
      <c r="AO565" s="175"/>
      <c r="AP565" s="175"/>
      <c r="AS565" s="3"/>
      <c r="BD565" s="97"/>
      <c r="EL565" s="3"/>
      <c r="EM565" s="3"/>
    </row>
    <row r="566" spans="9:143">
      <c r="I566" s="34"/>
      <c r="J566" s="156" t="s">
        <v>1775</v>
      </c>
      <c r="K566" s="156" t="s">
        <v>1775</v>
      </c>
      <c r="L566" s="22">
        <v>10</v>
      </c>
      <c r="M566" s="22">
        <v>18</v>
      </c>
      <c r="N566" s="22">
        <v>24.9</v>
      </c>
      <c r="O566" s="22">
        <v>21</v>
      </c>
      <c r="P566" s="22">
        <v>53</v>
      </c>
      <c r="Q566" s="22">
        <v>38</v>
      </c>
      <c r="R566" s="35" t="s">
        <v>1776</v>
      </c>
      <c r="S566" s="35" t="s">
        <v>1777</v>
      </c>
      <c r="AJ566" s="175"/>
      <c r="AK566" s="175"/>
      <c r="AL566" s="175"/>
      <c r="AM566" s="175"/>
      <c r="AN566" s="175"/>
      <c r="AO566" s="175"/>
      <c r="AP566" s="175"/>
      <c r="AS566" s="3"/>
      <c r="BD566" s="97"/>
      <c r="EL566" s="3"/>
      <c r="EM566" s="3"/>
    </row>
    <row r="567" spans="9:143">
      <c r="I567" s="34"/>
      <c r="J567" s="156" t="s">
        <v>1778</v>
      </c>
      <c r="K567" s="156" t="s">
        <v>1778</v>
      </c>
      <c r="L567" s="22">
        <v>10</v>
      </c>
      <c r="M567" s="22">
        <v>23</v>
      </c>
      <c r="N567" s="22">
        <v>30.6</v>
      </c>
      <c r="O567" s="22">
        <v>19</v>
      </c>
      <c r="P567" s="22">
        <v>51</v>
      </c>
      <c r="Q567" s="22">
        <v>54</v>
      </c>
      <c r="R567" s="35" t="s">
        <v>1779</v>
      </c>
      <c r="S567" s="35" t="s">
        <v>1780</v>
      </c>
      <c r="AJ567" s="175"/>
      <c r="AK567" s="175"/>
      <c r="AL567" s="175"/>
      <c r="AM567" s="175"/>
      <c r="AN567" s="175"/>
      <c r="AO567" s="175"/>
      <c r="AP567" s="175"/>
      <c r="AS567" s="3"/>
      <c r="BD567" s="97"/>
      <c r="EL567" s="3"/>
      <c r="EM567" s="3"/>
    </row>
    <row r="568" spans="9:143">
      <c r="I568" s="34"/>
      <c r="J568" s="156" t="s">
        <v>1781</v>
      </c>
      <c r="K568" s="156" t="s">
        <v>1781</v>
      </c>
      <c r="L568" s="22">
        <v>10</v>
      </c>
      <c r="M568" s="22">
        <v>25</v>
      </c>
      <c r="N568" s="22">
        <v>6.1</v>
      </c>
      <c r="O568" s="22">
        <v>17</v>
      </c>
      <c r="P568" s="22">
        <v>7</v>
      </c>
      <c r="Q568" s="22">
        <v>38</v>
      </c>
      <c r="R568" s="22" t="s">
        <v>1782</v>
      </c>
      <c r="S568" s="22" t="s">
        <v>1783</v>
      </c>
      <c r="AJ568" s="175"/>
      <c r="AK568" s="175"/>
      <c r="AL568" s="175"/>
      <c r="AM568" s="175"/>
      <c r="AN568" s="175"/>
      <c r="AO568" s="175"/>
      <c r="AP568" s="175"/>
      <c r="AS568" s="3"/>
      <c r="BD568" s="97"/>
      <c r="EL568" s="3"/>
      <c r="EM568" s="3"/>
    </row>
    <row r="569" spans="9:143">
      <c r="I569" s="34"/>
      <c r="J569" s="156" t="s">
        <v>1784</v>
      </c>
      <c r="K569" s="156" t="s">
        <v>1784</v>
      </c>
      <c r="L569" s="22">
        <v>10</v>
      </c>
      <c r="M569" s="22">
        <v>39</v>
      </c>
      <c r="N569" s="22">
        <v>9.5</v>
      </c>
      <c r="O569" s="22">
        <v>41</v>
      </c>
      <c r="P569" s="22">
        <v>41</v>
      </c>
      <c r="Q569" s="22">
        <v>13</v>
      </c>
      <c r="R569" s="22" t="s">
        <v>1785</v>
      </c>
      <c r="S569" s="22" t="s">
        <v>1786</v>
      </c>
      <c r="AJ569" s="175"/>
      <c r="AK569" s="175"/>
      <c r="AL569" s="175"/>
      <c r="AM569" s="175"/>
      <c r="AN569" s="175"/>
      <c r="AO569" s="175"/>
      <c r="AP569" s="175"/>
      <c r="AS569" s="3"/>
      <c r="BD569" s="97"/>
      <c r="EL569" s="3"/>
      <c r="EM569" s="3"/>
    </row>
    <row r="570" spans="9:143">
      <c r="I570" s="34"/>
      <c r="J570" s="156" t="s">
        <v>1787</v>
      </c>
      <c r="K570" s="156" t="s">
        <v>1787</v>
      </c>
      <c r="L570" s="22">
        <v>10</v>
      </c>
      <c r="M570" s="22">
        <v>42</v>
      </c>
      <c r="N570" s="22">
        <v>7.5</v>
      </c>
      <c r="O570" s="22">
        <v>13</v>
      </c>
      <c r="P570" s="22">
        <v>44</v>
      </c>
      <c r="Q570" s="22">
        <v>49</v>
      </c>
      <c r="R570" s="35" t="s">
        <v>1788</v>
      </c>
      <c r="S570" s="35" t="s">
        <v>1789</v>
      </c>
      <c r="AJ570" s="175"/>
      <c r="AK570" s="175"/>
      <c r="AL570" s="175"/>
      <c r="AM570" s="175"/>
      <c r="AN570" s="175"/>
      <c r="AO570" s="175"/>
      <c r="AP570" s="175"/>
      <c r="AS570" s="3"/>
      <c r="BD570" s="97"/>
      <c r="EL570" s="3"/>
      <c r="EM570" s="3"/>
    </row>
    <row r="571" spans="9:143">
      <c r="I571" s="34"/>
      <c r="J571" s="156" t="s">
        <v>1790</v>
      </c>
      <c r="K571" s="156" t="s">
        <v>1790</v>
      </c>
      <c r="L571" s="22">
        <v>10</v>
      </c>
      <c r="M571" s="22">
        <v>43</v>
      </c>
      <c r="N571" s="22">
        <v>31.1</v>
      </c>
      <c r="O571" s="22">
        <v>24</v>
      </c>
      <c r="P571" s="22">
        <v>55</v>
      </c>
      <c r="Q571" s="22">
        <v>20</v>
      </c>
      <c r="R571" s="22" t="s">
        <v>1791</v>
      </c>
      <c r="S571" s="22" t="s">
        <v>1792</v>
      </c>
      <c r="AJ571" s="175"/>
      <c r="AK571" s="175"/>
      <c r="AL571" s="175"/>
      <c r="AM571" s="175"/>
      <c r="AN571" s="175"/>
      <c r="AO571" s="175"/>
      <c r="AP571" s="175"/>
      <c r="AS571" s="3"/>
      <c r="BD571" s="97"/>
      <c r="EL571" s="3"/>
      <c r="EM571" s="3"/>
    </row>
    <row r="572" spans="9:143">
      <c r="I572" s="34"/>
      <c r="J572" s="156" t="s">
        <v>1793</v>
      </c>
      <c r="K572" s="156" t="s">
        <v>1793</v>
      </c>
      <c r="L572" s="22">
        <v>10</v>
      </c>
      <c r="M572" s="22">
        <v>48</v>
      </c>
      <c r="N572" s="22">
        <v>16.899999999999999</v>
      </c>
      <c r="O572" s="22">
        <v>12</v>
      </c>
      <c r="P572" s="22">
        <v>37</v>
      </c>
      <c r="Q572" s="22">
        <v>45</v>
      </c>
      <c r="R572" s="22" t="s">
        <v>1794</v>
      </c>
      <c r="S572" s="22" t="s">
        <v>1783</v>
      </c>
      <c r="AJ572" s="175"/>
      <c r="AK572" s="175"/>
      <c r="AL572" s="175"/>
      <c r="AM572" s="175"/>
      <c r="AN572" s="175"/>
      <c r="AO572" s="175"/>
      <c r="AP572" s="175"/>
      <c r="AS572" s="3"/>
      <c r="BD572" s="97"/>
      <c r="EL572" s="3"/>
      <c r="EM572" s="3"/>
    </row>
    <row r="573" spans="9:143">
      <c r="I573" s="34"/>
      <c r="J573" s="156" t="s">
        <v>1795</v>
      </c>
      <c r="K573" s="156" t="s">
        <v>1795</v>
      </c>
      <c r="L573" s="22">
        <v>10</v>
      </c>
      <c r="M573" s="22">
        <v>47</v>
      </c>
      <c r="N573" s="22">
        <v>42.4</v>
      </c>
      <c r="O573" s="22">
        <v>13</v>
      </c>
      <c r="P573" s="22">
        <v>59</v>
      </c>
      <c r="Q573" s="22">
        <v>8</v>
      </c>
      <c r="R573" s="22" t="s">
        <v>1796</v>
      </c>
      <c r="S573" s="35" t="s">
        <v>1797</v>
      </c>
      <c r="AJ573" s="175"/>
      <c r="AK573" s="175"/>
      <c r="AL573" s="175"/>
      <c r="AM573" s="175"/>
      <c r="AN573" s="175"/>
      <c r="AO573" s="175"/>
      <c r="AP573" s="175"/>
      <c r="AS573" s="3"/>
      <c r="BD573" s="97"/>
      <c r="EL573" s="3"/>
      <c r="EM573" s="3"/>
    </row>
    <row r="574" spans="9:143">
      <c r="I574" s="34"/>
      <c r="J574" s="156" t="s">
        <v>1798</v>
      </c>
      <c r="K574" s="156" t="s">
        <v>1798</v>
      </c>
      <c r="L574" s="22">
        <v>10</v>
      </c>
      <c r="M574" s="22">
        <v>50</v>
      </c>
      <c r="N574" s="22">
        <v>53.3</v>
      </c>
      <c r="O574" s="22">
        <v>13</v>
      </c>
      <c r="P574" s="22">
        <v>24</v>
      </c>
      <c r="Q574" s="22">
        <v>44</v>
      </c>
      <c r="R574" s="22" t="s">
        <v>1799</v>
      </c>
      <c r="S574" s="35" t="s">
        <v>1557</v>
      </c>
      <c r="AJ574" s="175"/>
      <c r="AK574" s="175"/>
      <c r="AL574" s="175"/>
      <c r="AM574" s="175"/>
      <c r="AN574" s="175"/>
      <c r="AO574" s="175"/>
      <c r="AP574" s="175"/>
      <c r="AS574" s="3"/>
      <c r="BD574" s="97"/>
      <c r="EL574" s="3"/>
      <c r="EM574" s="3"/>
    </row>
    <row r="575" spans="9:143">
      <c r="I575" s="34"/>
      <c r="J575" s="156" t="s">
        <v>1800</v>
      </c>
      <c r="K575" s="156" t="s">
        <v>1800</v>
      </c>
      <c r="L575" s="22">
        <v>10</v>
      </c>
      <c r="M575" s="22">
        <v>51</v>
      </c>
      <c r="N575" s="22">
        <v>16.2</v>
      </c>
      <c r="O575" s="22">
        <v>27</v>
      </c>
      <c r="P575" s="22">
        <v>58</v>
      </c>
      <c r="Q575" s="22">
        <v>30</v>
      </c>
      <c r="R575" s="22" t="s">
        <v>1801</v>
      </c>
      <c r="S575" s="22" t="s">
        <v>1557</v>
      </c>
      <c r="AJ575" s="175"/>
      <c r="AK575" s="175"/>
      <c r="AL575" s="175"/>
      <c r="AM575" s="175"/>
      <c r="AN575" s="175"/>
      <c r="AO575" s="175"/>
      <c r="AP575" s="175"/>
      <c r="AS575" s="3"/>
      <c r="BD575" s="97"/>
      <c r="EL575" s="3"/>
      <c r="EM575" s="3"/>
    </row>
    <row r="576" spans="9:143">
      <c r="I576" s="34"/>
      <c r="J576" s="156" t="s">
        <v>1802</v>
      </c>
      <c r="K576" s="156" t="s">
        <v>1802</v>
      </c>
      <c r="L576" s="22">
        <v>11</v>
      </c>
      <c r="M576" s="22">
        <v>0</v>
      </c>
      <c r="N576" s="22">
        <v>23.9</v>
      </c>
      <c r="O576" s="22">
        <v>28</v>
      </c>
      <c r="P576" s="22">
        <v>58</v>
      </c>
      <c r="Q576" s="22">
        <v>29</v>
      </c>
      <c r="R576" s="22" t="s">
        <v>1803</v>
      </c>
      <c r="S576" s="22" t="s">
        <v>1804</v>
      </c>
      <c r="AJ576" s="175"/>
      <c r="AK576" s="175"/>
      <c r="AL576" s="175"/>
      <c r="AM576" s="175"/>
      <c r="AN576" s="175"/>
      <c r="AO576" s="175"/>
      <c r="AP576" s="175"/>
      <c r="AS576" s="3"/>
      <c r="BD576" s="97"/>
      <c r="EL576" s="3"/>
      <c r="EM576" s="3"/>
    </row>
    <row r="577" spans="9:143">
      <c r="I577" s="34"/>
      <c r="J577" s="156" t="s">
        <v>1805</v>
      </c>
      <c r="K577" s="156" t="s">
        <v>1805</v>
      </c>
      <c r="L577" s="22">
        <v>11</v>
      </c>
      <c r="M577" s="22">
        <v>0</v>
      </c>
      <c r="N577" s="22">
        <v>18.600000000000001</v>
      </c>
      <c r="O577" s="22">
        <v>13</v>
      </c>
      <c r="P577" s="22">
        <v>54</v>
      </c>
      <c r="Q577" s="22">
        <v>5</v>
      </c>
      <c r="R577" s="22" t="s">
        <v>1806</v>
      </c>
      <c r="S577" s="35" t="s">
        <v>1557</v>
      </c>
      <c r="AJ577" s="175"/>
      <c r="AK577" s="175"/>
      <c r="AL577" s="175"/>
      <c r="AM577" s="175"/>
      <c r="AN577" s="175"/>
      <c r="AO577" s="175"/>
      <c r="AP577" s="175"/>
      <c r="AS577" s="3"/>
      <c r="BD577" s="97"/>
      <c r="EL577" s="3"/>
      <c r="EM577" s="3"/>
    </row>
    <row r="578" spans="9:143">
      <c r="I578" s="34"/>
      <c r="J578" s="156" t="s">
        <v>1807</v>
      </c>
      <c r="K578" s="156" t="s">
        <v>1807</v>
      </c>
      <c r="L578" s="22">
        <v>11</v>
      </c>
      <c r="M578" s="22">
        <v>3</v>
      </c>
      <c r="N578" s="22">
        <v>11.2</v>
      </c>
      <c r="O578" s="22">
        <v>27</v>
      </c>
      <c r="P578" s="22">
        <v>58</v>
      </c>
      <c r="Q578" s="22">
        <v>21</v>
      </c>
      <c r="R578" s="22" t="s">
        <v>1808</v>
      </c>
      <c r="S578" s="22" t="s">
        <v>1557</v>
      </c>
      <c r="AJ578" s="175"/>
      <c r="AK578" s="175"/>
      <c r="AL578" s="175"/>
      <c r="AM578" s="175"/>
      <c r="AN578" s="175"/>
      <c r="AO578" s="175"/>
      <c r="AP578" s="175"/>
      <c r="AS578" s="3"/>
      <c r="BD578" s="97"/>
      <c r="EL578" s="3"/>
      <c r="EM578" s="3"/>
    </row>
    <row r="579" spans="9:143">
      <c r="I579" s="34"/>
      <c r="J579" s="156" t="s">
        <v>1809</v>
      </c>
      <c r="K579" s="156" t="s">
        <v>1809</v>
      </c>
      <c r="L579" s="22">
        <v>11</v>
      </c>
      <c r="M579" s="22">
        <v>5</v>
      </c>
      <c r="N579" s="22">
        <v>48.6</v>
      </c>
      <c r="O579" s="22">
        <v>0</v>
      </c>
      <c r="P579" s="22">
        <v>-2</v>
      </c>
      <c r="Q579" s="22">
        <v>-9</v>
      </c>
      <c r="R579" s="22" t="s">
        <v>1810</v>
      </c>
      <c r="S579" s="35" t="s">
        <v>1811</v>
      </c>
      <c r="AJ579" s="175"/>
      <c r="AK579" s="175"/>
      <c r="AL579" s="175"/>
      <c r="AM579" s="175"/>
      <c r="AN579" s="175"/>
      <c r="AO579" s="175"/>
      <c r="AP579" s="175"/>
      <c r="AS579" s="3"/>
      <c r="BD579" s="97"/>
      <c r="EL579" s="3"/>
      <c r="EM579" s="3"/>
    </row>
    <row r="580" spans="9:143">
      <c r="I580" s="34"/>
      <c r="J580" s="156" t="s">
        <v>1812</v>
      </c>
      <c r="K580" s="156" t="s">
        <v>1812</v>
      </c>
      <c r="L580" s="22">
        <v>11</v>
      </c>
      <c r="M580" s="22">
        <v>14</v>
      </c>
      <c r="N580" s="22">
        <v>37</v>
      </c>
      <c r="O580" s="22">
        <v>12</v>
      </c>
      <c r="P580" s="22">
        <v>49</v>
      </c>
      <c r="Q580" s="22">
        <v>5</v>
      </c>
      <c r="R580" s="22" t="s">
        <v>1813</v>
      </c>
      <c r="S580" s="22" t="s">
        <v>1814</v>
      </c>
      <c r="AJ580" s="175"/>
      <c r="AK580" s="175"/>
      <c r="AL580" s="175"/>
      <c r="AM580" s="175"/>
      <c r="AN580" s="175"/>
      <c r="AO580" s="175"/>
      <c r="AP580" s="175"/>
      <c r="AS580" s="3"/>
      <c r="BD580" s="97"/>
      <c r="EL580" s="3"/>
      <c r="EM580" s="3"/>
    </row>
    <row r="581" spans="9:143">
      <c r="I581" s="34"/>
      <c r="J581" s="156" t="s">
        <v>1815</v>
      </c>
      <c r="K581" s="156" t="s">
        <v>1815</v>
      </c>
      <c r="L581" s="22">
        <v>11</v>
      </c>
      <c r="M581" s="22">
        <v>16</v>
      </c>
      <c r="N581" s="22">
        <v>54.7</v>
      </c>
      <c r="O581" s="22">
        <v>18</v>
      </c>
      <c r="P581" s="22">
        <v>3</v>
      </c>
      <c r="Q581" s="22">
        <v>7</v>
      </c>
      <c r="R581" s="22" t="s">
        <v>1816</v>
      </c>
      <c r="S581" s="35" t="s">
        <v>1817</v>
      </c>
      <c r="AJ581" s="175"/>
      <c r="AK581" s="175"/>
      <c r="AL581" s="175"/>
      <c r="AM581" s="175"/>
      <c r="AN581" s="175"/>
      <c r="AO581" s="175"/>
      <c r="AP581" s="175"/>
      <c r="AS581" s="3"/>
      <c r="BD581" s="97"/>
      <c r="EL581" s="3"/>
      <c r="EM581" s="3"/>
    </row>
    <row r="582" spans="9:143">
      <c r="I582" s="34"/>
      <c r="J582" s="156" t="s">
        <v>1818</v>
      </c>
      <c r="K582" s="156" t="s">
        <v>1818</v>
      </c>
      <c r="L582" s="22">
        <v>11</v>
      </c>
      <c r="M582" s="22">
        <v>16</v>
      </c>
      <c r="N582" s="22">
        <v>59</v>
      </c>
      <c r="O582" s="22">
        <v>18</v>
      </c>
      <c r="P582" s="22">
        <v>8</v>
      </c>
      <c r="Q582" s="22">
        <v>55</v>
      </c>
      <c r="R582" s="22" t="s">
        <v>1819</v>
      </c>
      <c r="S582" s="35" t="s">
        <v>1557</v>
      </c>
      <c r="AJ582" s="175"/>
      <c r="AK582" s="175"/>
      <c r="AL582" s="175"/>
      <c r="AM582" s="175"/>
      <c r="AN582" s="175"/>
      <c r="AO582" s="175"/>
      <c r="AP582" s="175"/>
      <c r="AS582" s="3"/>
      <c r="BD582" s="97"/>
      <c r="EL582" s="3"/>
      <c r="EM582" s="3"/>
    </row>
    <row r="583" spans="9:143">
      <c r="I583" s="34"/>
      <c r="J583" s="156" t="s">
        <v>1820</v>
      </c>
      <c r="K583" s="156" t="s">
        <v>1820</v>
      </c>
      <c r="L583" s="22">
        <v>11</v>
      </c>
      <c r="M583" s="22">
        <v>20</v>
      </c>
      <c r="N583" s="22">
        <v>3.8</v>
      </c>
      <c r="O583" s="22">
        <v>18</v>
      </c>
      <c r="P583" s="22">
        <v>21</v>
      </c>
      <c r="Q583" s="22">
        <v>24</v>
      </c>
      <c r="R583" s="22" t="s">
        <v>1821</v>
      </c>
      <c r="S583" s="35" t="s">
        <v>1822</v>
      </c>
      <c r="AJ583" s="175"/>
      <c r="AK583" s="175"/>
      <c r="AL583" s="175"/>
      <c r="AM583" s="175"/>
      <c r="AN583" s="175"/>
      <c r="AO583" s="175"/>
      <c r="AP583" s="175"/>
      <c r="AS583" s="3"/>
      <c r="BD583" s="97"/>
      <c r="EL583" s="3"/>
      <c r="EM583" s="3"/>
    </row>
    <row r="584" spans="9:143">
      <c r="I584" s="34"/>
      <c r="J584" s="156" t="s">
        <v>1823</v>
      </c>
      <c r="K584" s="156" t="s">
        <v>1823</v>
      </c>
      <c r="L584" s="22">
        <v>11</v>
      </c>
      <c r="M584" s="22">
        <v>20</v>
      </c>
      <c r="N584" s="22">
        <v>17</v>
      </c>
      <c r="O584" s="22">
        <v>13</v>
      </c>
      <c r="P584" s="22">
        <v>35</v>
      </c>
      <c r="Q584" s="22">
        <v>22</v>
      </c>
      <c r="R584" s="22" t="s">
        <v>1824</v>
      </c>
      <c r="S584" s="35" t="s">
        <v>1825</v>
      </c>
      <c r="AJ584" s="175"/>
      <c r="AK584" s="175"/>
      <c r="AL584" s="175"/>
      <c r="AM584" s="175"/>
      <c r="AN584" s="175"/>
      <c r="AO584" s="175"/>
      <c r="AP584" s="175"/>
      <c r="AS584" s="3"/>
      <c r="BD584" s="97"/>
      <c r="EL584" s="3"/>
      <c r="EM584" s="3"/>
    </row>
    <row r="585" spans="9:143">
      <c r="I585" s="34"/>
      <c r="J585" s="156" t="s">
        <v>1826</v>
      </c>
      <c r="K585" s="156" t="s">
        <v>1826</v>
      </c>
      <c r="L585" s="22">
        <v>11</v>
      </c>
      <c r="M585" s="22">
        <v>21</v>
      </c>
      <c r="N585" s="22">
        <v>6.8</v>
      </c>
      <c r="O585" s="22">
        <v>3</v>
      </c>
      <c r="P585" s="22">
        <v>14</v>
      </c>
      <c r="Q585" s="22">
        <v>5</v>
      </c>
      <c r="R585" s="22" t="s">
        <v>1827</v>
      </c>
      <c r="S585" s="35" t="s">
        <v>1557</v>
      </c>
      <c r="AJ585" s="175"/>
      <c r="AK585" s="175"/>
      <c r="AL585" s="175"/>
      <c r="AM585" s="175"/>
      <c r="AN585" s="175"/>
      <c r="AO585" s="175"/>
      <c r="AP585" s="175"/>
      <c r="AS585" s="3"/>
      <c r="BD585" s="97"/>
      <c r="EL585" s="3"/>
      <c r="EM585" s="3"/>
    </row>
    <row r="586" spans="9:143">
      <c r="I586" s="34"/>
      <c r="J586" s="156" t="s">
        <v>1828</v>
      </c>
      <c r="K586" s="156" t="s">
        <v>1828</v>
      </c>
      <c r="L586" s="22">
        <v>11</v>
      </c>
      <c r="M586" s="22">
        <v>21</v>
      </c>
      <c r="N586" s="22">
        <v>43.1</v>
      </c>
      <c r="O586" s="22">
        <v>20</v>
      </c>
      <c r="P586" s="22">
        <v>10</v>
      </c>
      <c r="Q586" s="22">
        <v>10</v>
      </c>
      <c r="R586" s="22" t="s">
        <v>1829</v>
      </c>
      <c r="S586" s="35" t="s">
        <v>1557</v>
      </c>
      <c r="AJ586" s="175"/>
      <c r="AK586" s="175"/>
      <c r="AL586" s="175"/>
      <c r="AM586" s="175"/>
      <c r="AN586" s="175"/>
      <c r="AO586" s="175"/>
      <c r="AP586" s="175"/>
      <c r="AS586" s="3"/>
      <c r="BD586" s="97"/>
      <c r="EL586" s="3"/>
      <c r="EM586" s="3"/>
    </row>
    <row r="587" spans="9:143">
      <c r="I587" s="34"/>
      <c r="J587" s="156" t="s">
        <v>1830</v>
      </c>
      <c r="K587" s="156" t="s">
        <v>1830</v>
      </c>
      <c r="L587" s="22">
        <v>11</v>
      </c>
      <c r="M587" s="22">
        <v>26</v>
      </c>
      <c r="N587" s="22">
        <v>8.6</v>
      </c>
      <c r="O587" s="22">
        <v>43</v>
      </c>
      <c r="P587" s="22">
        <v>35</v>
      </c>
      <c r="Q587" s="22">
        <v>9</v>
      </c>
      <c r="R587" s="22" t="s">
        <v>1831</v>
      </c>
      <c r="S587" s="22" t="s">
        <v>1557</v>
      </c>
      <c r="AJ587" s="175"/>
      <c r="AK587" s="175"/>
      <c r="AL587" s="175"/>
      <c r="AM587" s="175"/>
      <c r="AN587" s="175"/>
      <c r="AO587" s="175"/>
      <c r="AP587" s="175"/>
      <c r="AS587" s="3"/>
      <c r="BD587" s="97"/>
      <c r="EL587" s="3"/>
      <c r="EM587" s="3"/>
    </row>
    <row r="588" spans="9:143">
      <c r="I588" s="34"/>
      <c r="J588" s="156" t="s">
        <v>1832</v>
      </c>
      <c r="K588" s="156" t="s">
        <v>1832</v>
      </c>
      <c r="L588" s="22">
        <v>11</v>
      </c>
      <c r="M588" s="22">
        <v>32</v>
      </c>
      <c r="N588" s="22">
        <v>34.9</v>
      </c>
      <c r="O588" s="22">
        <v>53</v>
      </c>
      <c r="P588" s="22">
        <v>4</v>
      </c>
      <c r="Q588" s="22">
        <v>4</v>
      </c>
      <c r="R588" s="22" t="s">
        <v>1833</v>
      </c>
      <c r="S588" s="22" t="s">
        <v>1834</v>
      </c>
      <c r="AJ588" s="175"/>
      <c r="AK588" s="175"/>
      <c r="AL588" s="175"/>
      <c r="AM588" s="175"/>
      <c r="AN588" s="175"/>
      <c r="AO588" s="175"/>
      <c r="AP588" s="175"/>
      <c r="AS588" s="3"/>
      <c r="BD588" s="97"/>
      <c r="EL588" s="3"/>
      <c r="EM588" s="3"/>
    </row>
    <row r="589" spans="9:143">
      <c r="I589" s="34"/>
      <c r="J589" s="156" t="s">
        <v>1835</v>
      </c>
      <c r="K589" s="156" t="s">
        <v>1835</v>
      </c>
      <c r="L589" s="22">
        <v>11</v>
      </c>
      <c r="M589" s="22">
        <v>40</v>
      </c>
      <c r="N589" s="22">
        <v>58.7</v>
      </c>
      <c r="O589" s="22">
        <v>11</v>
      </c>
      <c r="P589" s="22">
        <v>28</v>
      </c>
      <c r="Q589" s="22">
        <v>16</v>
      </c>
      <c r="R589" s="22" t="s">
        <v>1836</v>
      </c>
      <c r="S589" s="35" t="s">
        <v>1837</v>
      </c>
      <c r="AJ589" s="175"/>
      <c r="AK589" s="175"/>
      <c r="AL589" s="175"/>
      <c r="AM589" s="175"/>
      <c r="AN589" s="175"/>
      <c r="AO589" s="175"/>
      <c r="AP589" s="175"/>
      <c r="AS589" s="3"/>
      <c r="BD589" s="97"/>
      <c r="EL589" s="3"/>
      <c r="EM589" s="3"/>
    </row>
    <row r="590" spans="9:143">
      <c r="I590" s="34"/>
      <c r="J590" s="156" t="s">
        <v>1838</v>
      </c>
      <c r="K590" s="156" t="s">
        <v>1838</v>
      </c>
      <c r="L590" s="22">
        <v>11</v>
      </c>
      <c r="M590" s="22">
        <v>44</v>
      </c>
      <c r="N590" s="22">
        <v>2.2000000000000002</v>
      </c>
      <c r="O590" s="22">
        <v>19</v>
      </c>
      <c r="P590" s="22">
        <v>56</v>
      </c>
      <c r="Q590" s="22">
        <v>59</v>
      </c>
      <c r="R590" s="22" t="s">
        <v>1839</v>
      </c>
      <c r="S590" s="35" t="s">
        <v>1840</v>
      </c>
      <c r="AJ590" s="175"/>
      <c r="AK590" s="175"/>
      <c r="AL590" s="175"/>
      <c r="AM590" s="175"/>
      <c r="AN590" s="175"/>
      <c r="AO590" s="175"/>
      <c r="AP590" s="175"/>
      <c r="AS590" s="3"/>
      <c r="BD590" s="97"/>
      <c r="EL590" s="3"/>
      <c r="EM590" s="3"/>
    </row>
    <row r="591" spans="9:143">
      <c r="I591" s="34"/>
      <c r="J591" s="156" t="s">
        <v>1841</v>
      </c>
      <c r="K591" s="156" t="s">
        <v>1841</v>
      </c>
      <c r="L591" s="22">
        <v>12</v>
      </c>
      <c r="M591" s="22">
        <v>1</v>
      </c>
      <c r="N591" s="22">
        <v>53</v>
      </c>
      <c r="O591" s="22">
        <v>-18</v>
      </c>
      <c r="P591" s="22">
        <v>-52</v>
      </c>
      <c r="Q591" s="22">
        <v>-3</v>
      </c>
      <c r="R591" s="22" t="s">
        <v>1842</v>
      </c>
      <c r="S591" s="22" t="s">
        <v>1843</v>
      </c>
      <c r="AJ591" s="175"/>
      <c r="AK591" s="175"/>
      <c r="AL591" s="175"/>
      <c r="AM591" s="175"/>
      <c r="AN591" s="175"/>
      <c r="AO591" s="175"/>
      <c r="AP591" s="175"/>
      <c r="AS591" s="3"/>
      <c r="BD591" s="97"/>
      <c r="EL591" s="3"/>
      <c r="EM591" s="3"/>
    </row>
    <row r="592" spans="9:143">
      <c r="I592" s="34"/>
      <c r="J592" s="156" t="s">
        <v>1844</v>
      </c>
      <c r="K592" s="156" t="s">
        <v>1844</v>
      </c>
      <c r="L592" s="22">
        <v>12</v>
      </c>
      <c r="M592" s="22">
        <v>1</v>
      </c>
      <c r="N592" s="22">
        <v>53.9</v>
      </c>
      <c r="O592" s="22">
        <v>-18</v>
      </c>
      <c r="P592" s="22">
        <v>-51</v>
      </c>
      <c r="Q592" s="22">
        <v>-6</v>
      </c>
      <c r="R592" s="22" t="s">
        <v>1845</v>
      </c>
      <c r="S592" s="22" t="s">
        <v>1843</v>
      </c>
      <c r="AJ592" s="175"/>
      <c r="AK592" s="175"/>
      <c r="AL592" s="175"/>
      <c r="AM592" s="175"/>
      <c r="AN592" s="175"/>
      <c r="AO592" s="175"/>
      <c r="AP592" s="175"/>
      <c r="AS592" s="3"/>
      <c r="BD592" s="97"/>
      <c r="EL592" s="3"/>
      <c r="EM592" s="3"/>
    </row>
    <row r="593" spans="9:143">
      <c r="I593" s="34"/>
      <c r="J593" s="156" t="s">
        <v>1846</v>
      </c>
      <c r="K593" s="156" t="s">
        <v>1846</v>
      </c>
      <c r="L593" s="22">
        <v>12</v>
      </c>
      <c r="M593" s="22">
        <v>8</v>
      </c>
      <c r="N593" s="22">
        <v>6</v>
      </c>
      <c r="O593" s="22">
        <v>65</v>
      </c>
      <c r="P593" s="22">
        <v>10</v>
      </c>
      <c r="Q593" s="22">
        <v>27</v>
      </c>
      <c r="R593" s="22" t="s">
        <v>1847</v>
      </c>
      <c r="S593" s="22" t="s">
        <v>1848</v>
      </c>
      <c r="AJ593" s="175"/>
      <c r="AK593" s="175"/>
      <c r="AL593" s="175"/>
      <c r="AM593" s="175"/>
      <c r="AN593" s="175"/>
      <c r="AO593" s="175"/>
      <c r="AP593" s="175"/>
      <c r="AS593" s="3"/>
      <c r="BD593" s="97"/>
      <c r="EL593" s="3"/>
      <c r="EM593" s="3"/>
    </row>
    <row r="594" spans="9:143">
      <c r="I594" s="34"/>
      <c r="J594" s="156" t="s">
        <v>1849</v>
      </c>
      <c r="K594" s="156" t="s">
        <v>1849</v>
      </c>
      <c r="L594" s="22">
        <v>12</v>
      </c>
      <c r="M594" s="22">
        <v>16</v>
      </c>
      <c r="N594" s="22">
        <v>42.2</v>
      </c>
      <c r="O594" s="22">
        <v>69</v>
      </c>
      <c r="P594" s="22">
        <v>27</v>
      </c>
      <c r="Q594" s="22">
        <v>45</v>
      </c>
      <c r="R594" s="22" t="s">
        <v>1850</v>
      </c>
      <c r="S594" s="22" t="s">
        <v>1851</v>
      </c>
      <c r="AJ594" s="175"/>
      <c r="AK594" s="175"/>
      <c r="AL594" s="175"/>
      <c r="AM594" s="175"/>
      <c r="AN594" s="175"/>
      <c r="AO594" s="175"/>
      <c r="AP594" s="175"/>
      <c r="AS594" s="3"/>
      <c r="BD594" s="97"/>
      <c r="EL594" s="3"/>
      <c r="EM594" s="3"/>
    </row>
    <row r="595" spans="9:143">
      <c r="I595" s="34"/>
      <c r="J595" s="156" t="s">
        <v>1852</v>
      </c>
      <c r="K595" s="156" t="s">
        <v>1852</v>
      </c>
      <c r="L595" s="22">
        <v>12</v>
      </c>
      <c r="M595" s="22">
        <v>17</v>
      </c>
      <c r="N595" s="22">
        <v>29.7</v>
      </c>
      <c r="O595" s="22">
        <v>37</v>
      </c>
      <c r="P595" s="22">
        <v>48</v>
      </c>
      <c r="Q595" s="22">
        <v>26</v>
      </c>
      <c r="R595" s="22" t="s">
        <v>1853</v>
      </c>
      <c r="S595" s="22" t="s">
        <v>1854</v>
      </c>
      <c r="AJ595" s="175"/>
      <c r="AK595" s="175"/>
      <c r="AL595" s="175"/>
      <c r="AM595" s="175"/>
      <c r="AN595" s="175"/>
      <c r="AO595" s="175"/>
      <c r="AP595" s="175"/>
      <c r="AS595" s="3"/>
      <c r="BD595" s="97"/>
      <c r="EL595" s="3"/>
      <c r="EM595" s="3"/>
    </row>
    <row r="596" spans="9:143">
      <c r="I596" s="34"/>
      <c r="J596" s="156" t="s">
        <v>1855</v>
      </c>
      <c r="K596" s="156" t="s">
        <v>1855</v>
      </c>
      <c r="L596" s="22">
        <v>12</v>
      </c>
      <c r="M596" s="22">
        <v>28</v>
      </c>
      <c r="N596" s="22">
        <v>11.1</v>
      </c>
      <c r="O596" s="22">
        <v>44</v>
      </c>
      <c r="P596" s="22">
        <v>5</v>
      </c>
      <c r="Q596" s="22">
        <v>37</v>
      </c>
      <c r="R596" s="22" t="s">
        <v>1856</v>
      </c>
      <c r="S596" s="22" t="s">
        <v>1857</v>
      </c>
      <c r="AJ596" s="175"/>
      <c r="AK596" s="175"/>
      <c r="AL596" s="175"/>
      <c r="AM596" s="175"/>
      <c r="AN596" s="175"/>
      <c r="AO596" s="175"/>
      <c r="AP596" s="175"/>
      <c r="AS596" s="3"/>
      <c r="BD596" s="97"/>
      <c r="EL596" s="3"/>
      <c r="EM596" s="3"/>
    </row>
    <row r="597" spans="9:143">
      <c r="I597" s="34"/>
      <c r="J597" s="156" t="s">
        <v>1858</v>
      </c>
      <c r="K597" s="156" t="s">
        <v>1858</v>
      </c>
      <c r="L597" s="22">
        <v>12</v>
      </c>
      <c r="M597" s="22">
        <v>30</v>
      </c>
      <c r="N597" s="22">
        <v>36.4</v>
      </c>
      <c r="O597" s="22">
        <v>41</v>
      </c>
      <c r="P597" s="22">
        <v>38</v>
      </c>
      <c r="Q597" s="22">
        <v>38</v>
      </c>
      <c r="R597" s="22" t="s">
        <v>1859</v>
      </c>
      <c r="S597" s="22" t="s">
        <v>1860</v>
      </c>
      <c r="AJ597" s="175"/>
      <c r="AK597" s="175"/>
      <c r="AL597" s="175"/>
      <c r="AM597" s="175"/>
      <c r="AN597" s="175"/>
      <c r="AO597" s="175"/>
      <c r="AP597" s="175"/>
      <c r="AS597" s="3"/>
      <c r="BD597" s="97"/>
      <c r="EL597" s="3"/>
      <c r="EM597" s="3"/>
    </row>
    <row r="598" spans="9:143">
      <c r="I598" s="34"/>
      <c r="J598" s="156" t="s">
        <v>1861</v>
      </c>
      <c r="K598" s="156" t="s">
        <v>1861</v>
      </c>
      <c r="L598" s="22">
        <v>12</v>
      </c>
      <c r="M598" s="22">
        <v>31</v>
      </c>
      <c r="N598" s="22">
        <v>24</v>
      </c>
      <c r="O598" s="22">
        <v>25</v>
      </c>
      <c r="P598" s="22">
        <v>46</v>
      </c>
      <c r="Q598" s="22">
        <v>30</v>
      </c>
      <c r="R598" s="22" t="s">
        <v>1862</v>
      </c>
      <c r="S598" s="22" t="s">
        <v>1557</v>
      </c>
      <c r="AJ598" s="175"/>
      <c r="AK598" s="175"/>
      <c r="AL598" s="175"/>
      <c r="AM598" s="175"/>
      <c r="AN598" s="175"/>
      <c r="AO598" s="175"/>
      <c r="AP598" s="175"/>
      <c r="AS598" s="3"/>
      <c r="BD598" s="97"/>
      <c r="EL598" s="3"/>
      <c r="EM598" s="3"/>
    </row>
    <row r="599" spans="9:143">
      <c r="I599" s="34"/>
      <c r="J599" s="156" t="s">
        <v>1863</v>
      </c>
      <c r="K599" s="156" t="s">
        <v>1863</v>
      </c>
      <c r="L599" s="22">
        <v>12</v>
      </c>
      <c r="M599" s="22">
        <v>35</v>
      </c>
      <c r="N599" s="22">
        <v>57.7</v>
      </c>
      <c r="O599" s="22">
        <v>27</v>
      </c>
      <c r="P599" s="22">
        <v>57</v>
      </c>
      <c r="Q599" s="22">
        <v>35</v>
      </c>
      <c r="R599" s="22" t="s">
        <v>1864</v>
      </c>
      <c r="S599" s="22" t="s">
        <v>1557</v>
      </c>
      <c r="AJ599" s="175"/>
      <c r="AK599" s="175"/>
      <c r="AL599" s="175"/>
      <c r="AM599" s="175"/>
      <c r="AN599" s="175"/>
      <c r="AO599" s="175"/>
      <c r="AP599" s="175"/>
      <c r="AS599" s="3"/>
      <c r="BD599" s="97"/>
      <c r="EL599" s="3"/>
      <c r="EM599" s="3"/>
    </row>
    <row r="600" spans="9:143">
      <c r="I600" s="34"/>
      <c r="J600" s="156" t="s">
        <v>1865</v>
      </c>
      <c r="K600" s="156" t="s">
        <v>1865</v>
      </c>
      <c r="L600" s="22">
        <v>12</v>
      </c>
      <c r="M600" s="22">
        <v>36</v>
      </c>
      <c r="N600" s="22">
        <v>20.8</v>
      </c>
      <c r="O600" s="22">
        <v>25</v>
      </c>
      <c r="P600" s="22">
        <v>59</v>
      </c>
      <c r="Q600" s="22">
        <v>15</v>
      </c>
      <c r="R600" s="22" t="s">
        <v>1866</v>
      </c>
      <c r="S600" s="22" t="s">
        <v>1867</v>
      </c>
      <c r="AJ600" s="175"/>
      <c r="AK600" s="175"/>
      <c r="AL600" s="175"/>
      <c r="AM600" s="175"/>
      <c r="AN600" s="175"/>
      <c r="AO600" s="175"/>
      <c r="AP600" s="175"/>
      <c r="AS600" s="3"/>
      <c r="BD600" s="97"/>
      <c r="EL600" s="3"/>
      <c r="EM600" s="3"/>
    </row>
    <row r="601" spans="9:143">
      <c r="I601" s="34"/>
      <c r="J601" s="156" t="s">
        <v>1868</v>
      </c>
      <c r="K601" s="156" t="s">
        <v>1868</v>
      </c>
      <c r="L601" s="22">
        <v>12</v>
      </c>
      <c r="M601" s="22">
        <v>37</v>
      </c>
      <c r="N601" s="22">
        <v>25</v>
      </c>
      <c r="O601" s="22">
        <v>74</v>
      </c>
      <c r="P601" s="22">
        <v>11</v>
      </c>
      <c r="Q601" s="22">
        <v>31</v>
      </c>
      <c r="R601" s="22" t="s">
        <v>1869</v>
      </c>
      <c r="S601" s="22" t="s">
        <v>1870</v>
      </c>
      <c r="V601" s="5"/>
      <c r="W601" s="5"/>
      <c r="X601" s="283" t="s">
        <v>3101</v>
      </c>
      <c r="Y601" s="5"/>
      <c r="Z601" s="342"/>
      <c r="AA601" s="5"/>
      <c r="AB601" s="5"/>
      <c r="AC601" s="5"/>
      <c r="AD601" s="5"/>
      <c r="AE601" s="5"/>
      <c r="AF601" s="5"/>
      <c r="AG601" s="5"/>
      <c r="AJ601" s="175"/>
      <c r="AK601" s="175"/>
      <c r="AL601" s="175"/>
      <c r="AM601" s="175"/>
      <c r="AN601" s="175"/>
      <c r="AO601" s="175"/>
      <c r="AP601" s="175"/>
      <c r="AS601" s="3"/>
      <c r="BD601" s="97"/>
      <c r="EL601" s="3"/>
      <c r="EM601" s="3"/>
    </row>
    <row r="602" spans="9:143">
      <c r="I602" s="34"/>
      <c r="J602" s="156" t="s">
        <v>1871</v>
      </c>
      <c r="K602" s="156" t="s">
        <v>1871</v>
      </c>
      <c r="L602" s="22">
        <v>12</v>
      </c>
      <c r="M602" s="22">
        <v>39</v>
      </c>
      <c r="N602" s="22">
        <v>59.4</v>
      </c>
      <c r="O602" s="22">
        <v>61</v>
      </c>
      <c r="P602" s="22">
        <v>36</v>
      </c>
      <c r="Q602" s="22">
        <v>33</v>
      </c>
      <c r="R602" s="22" t="s">
        <v>1872</v>
      </c>
      <c r="S602" s="22" t="s">
        <v>1873</v>
      </c>
      <c r="AJ602" s="175"/>
      <c r="AK602" s="175"/>
      <c r="AL602" s="175"/>
      <c r="AM602" s="175"/>
      <c r="AN602" s="175"/>
      <c r="AO602" s="175"/>
      <c r="AP602" s="175"/>
      <c r="AS602" s="3"/>
      <c r="BD602" s="97"/>
      <c r="EL602" s="3"/>
      <c r="EM602" s="3"/>
    </row>
    <row r="603" spans="9:143">
      <c r="I603" s="34"/>
      <c r="J603" s="112" t="s">
        <v>1874</v>
      </c>
      <c r="K603" s="112" t="s">
        <v>1874</v>
      </c>
      <c r="L603" s="37">
        <v>12</v>
      </c>
      <c r="M603" s="37">
        <v>41</v>
      </c>
      <c r="N603" s="37">
        <v>32.799999999999997</v>
      </c>
      <c r="O603" s="37">
        <v>41</v>
      </c>
      <c r="P603" s="37">
        <v>9</v>
      </c>
      <c r="Q603" s="37">
        <v>3</v>
      </c>
      <c r="R603" s="22" t="s">
        <v>1875</v>
      </c>
      <c r="S603" s="22" t="s">
        <v>1557</v>
      </c>
      <c r="AJ603" s="175"/>
      <c r="AK603" s="175"/>
      <c r="AL603" s="175"/>
      <c r="AM603" s="175"/>
      <c r="AN603" s="175"/>
      <c r="AO603" s="175"/>
      <c r="AP603" s="175"/>
      <c r="AS603" s="3"/>
      <c r="BD603" s="97"/>
      <c r="EL603" s="3"/>
      <c r="EM603" s="3"/>
    </row>
    <row r="604" spans="9:143">
      <c r="I604" s="34"/>
      <c r="J604" s="112" t="s">
        <v>1876</v>
      </c>
      <c r="K604" s="112" t="s">
        <v>1876</v>
      </c>
      <c r="L604" s="37">
        <v>12</v>
      </c>
      <c r="M604" s="37">
        <v>42</v>
      </c>
      <c r="N604" s="37">
        <v>8</v>
      </c>
      <c r="O604" s="37">
        <v>32</v>
      </c>
      <c r="P604" s="37">
        <v>32</v>
      </c>
      <c r="Q604" s="37">
        <v>29</v>
      </c>
      <c r="R604" s="22" t="s">
        <v>1877</v>
      </c>
      <c r="S604" s="22" t="s">
        <v>1878</v>
      </c>
      <c r="AJ604" s="175"/>
      <c r="AK604" s="175"/>
      <c r="AL604" s="175"/>
      <c r="AM604" s="175"/>
      <c r="AN604" s="175"/>
      <c r="AO604" s="175"/>
      <c r="AP604" s="175"/>
      <c r="AS604" s="3"/>
      <c r="BD604" s="97"/>
      <c r="EL604" s="3"/>
      <c r="EM604" s="3"/>
    </row>
    <row r="605" spans="9:143">
      <c r="I605" s="34"/>
      <c r="J605" s="112" t="s">
        <v>1879</v>
      </c>
      <c r="K605" s="112" t="s">
        <v>1879</v>
      </c>
      <c r="L605" s="37">
        <v>12</v>
      </c>
      <c r="M605" s="37">
        <v>43</v>
      </c>
      <c r="N605" s="37">
        <v>57.6</v>
      </c>
      <c r="O605" s="37">
        <v>32</v>
      </c>
      <c r="P605" s="37">
        <v>10</v>
      </c>
      <c r="Q605" s="37">
        <v>13</v>
      </c>
      <c r="R605" s="22" t="s">
        <v>1880</v>
      </c>
      <c r="S605" s="22" t="s">
        <v>1811</v>
      </c>
      <c r="AJ605" s="175"/>
      <c r="AK605" s="175"/>
      <c r="AL605" s="175"/>
      <c r="AM605" s="175"/>
      <c r="AN605" s="175"/>
      <c r="AO605" s="175"/>
      <c r="AP605" s="175"/>
      <c r="AS605" s="3"/>
      <c r="BD605" s="97"/>
      <c r="EL605" s="3"/>
      <c r="EM605" s="3"/>
    </row>
    <row r="606" spans="9:143">
      <c r="I606" s="34"/>
      <c r="J606" s="112" t="s">
        <v>1881</v>
      </c>
      <c r="K606" s="112" t="s">
        <v>1881</v>
      </c>
      <c r="L606" s="37">
        <v>12</v>
      </c>
      <c r="M606" s="37">
        <v>48</v>
      </c>
      <c r="N606" s="37">
        <v>35.9</v>
      </c>
      <c r="O606" s="37">
        <v>-5</v>
      </c>
      <c r="P606" s="37">
        <v>-48</v>
      </c>
      <c r="Q606" s="37">
        <v>-3</v>
      </c>
      <c r="R606" s="22" t="s">
        <v>1882</v>
      </c>
      <c r="S606" s="22" t="s">
        <v>1883</v>
      </c>
      <c r="AJ606" s="175"/>
      <c r="AK606" s="175"/>
      <c r="AL606" s="175"/>
      <c r="AM606" s="175"/>
      <c r="AN606" s="175"/>
      <c r="AO606" s="175"/>
      <c r="AP606" s="175"/>
      <c r="AS606" s="3"/>
      <c r="BD606" s="97"/>
      <c r="EL606" s="3"/>
      <c r="EM606" s="3"/>
    </row>
    <row r="607" spans="9:143">
      <c r="I607" s="34"/>
      <c r="J607" s="112" t="s">
        <v>1884</v>
      </c>
      <c r="K607" s="112" t="s">
        <v>1884</v>
      </c>
      <c r="L607" s="37">
        <v>12</v>
      </c>
      <c r="M607" s="37">
        <v>49</v>
      </c>
      <c r="N607" s="37">
        <v>2.2000000000000002</v>
      </c>
      <c r="O607" s="37">
        <v>-8</v>
      </c>
      <c r="P607" s="37">
        <v>-39</v>
      </c>
      <c r="Q607" s="37">
        <v>-51</v>
      </c>
      <c r="R607" s="22" t="s">
        <v>1885</v>
      </c>
      <c r="S607" s="22" t="s">
        <v>1681</v>
      </c>
      <c r="AJ607" s="175"/>
      <c r="AK607" s="175"/>
      <c r="AL607" s="175"/>
      <c r="AM607" s="175"/>
      <c r="AN607" s="175"/>
      <c r="AO607" s="175"/>
      <c r="AP607" s="175"/>
      <c r="AS607" s="3"/>
      <c r="BD607" s="97"/>
      <c r="EL607" s="3"/>
      <c r="EM607" s="3"/>
    </row>
    <row r="608" spans="9:143">
      <c r="I608" s="34"/>
      <c r="J608" s="112" t="s">
        <v>1886</v>
      </c>
      <c r="K608" s="112" t="s">
        <v>1886</v>
      </c>
      <c r="L608" s="37">
        <v>12</v>
      </c>
      <c r="M608" s="37">
        <v>50</v>
      </c>
      <c r="N608" s="37">
        <v>26.6</v>
      </c>
      <c r="O608" s="37">
        <v>25</v>
      </c>
      <c r="P608" s="37">
        <v>30</v>
      </c>
      <c r="Q608" s="37">
        <v>3</v>
      </c>
      <c r="R608" s="22" t="s">
        <v>1887</v>
      </c>
      <c r="S608" s="22" t="s">
        <v>1883</v>
      </c>
      <c r="AJ608" s="175"/>
      <c r="AK608" s="175"/>
      <c r="AL608" s="175"/>
      <c r="AM608" s="175"/>
      <c r="AN608" s="175"/>
      <c r="AO608" s="175"/>
      <c r="AP608" s="175"/>
      <c r="AS608" s="3"/>
      <c r="BD608" s="97"/>
      <c r="EL608" s="3"/>
      <c r="EM608" s="3"/>
    </row>
    <row r="609" spans="9:143">
      <c r="I609" s="34"/>
      <c r="J609" s="156" t="s">
        <v>1888</v>
      </c>
      <c r="K609" s="156" t="s">
        <v>1888</v>
      </c>
      <c r="L609" s="22">
        <v>12</v>
      </c>
      <c r="M609" s="22">
        <v>52</v>
      </c>
      <c r="N609" s="22">
        <v>22.1</v>
      </c>
      <c r="O609" s="22">
        <v>-11</v>
      </c>
      <c r="P609" s="22">
        <v>-59</v>
      </c>
      <c r="Q609" s="22">
        <v>0</v>
      </c>
      <c r="R609" s="22" t="s">
        <v>1889</v>
      </c>
      <c r="S609" s="22" t="s">
        <v>1878</v>
      </c>
      <c r="AJ609" s="175"/>
      <c r="AK609" s="175"/>
      <c r="AL609" s="175"/>
      <c r="AM609" s="175"/>
      <c r="AN609" s="175"/>
      <c r="AO609" s="175"/>
      <c r="AP609" s="175"/>
      <c r="AS609" s="3"/>
      <c r="BD609" s="97"/>
      <c r="EL609" s="3"/>
      <c r="EM609" s="3"/>
    </row>
    <row r="610" spans="9:143">
      <c r="I610" s="34"/>
      <c r="J610" s="112" t="s">
        <v>1890</v>
      </c>
      <c r="K610" s="112" t="s">
        <v>1890</v>
      </c>
      <c r="L610" s="37">
        <v>12</v>
      </c>
      <c r="M610" s="37">
        <v>52</v>
      </c>
      <c r="N610" s="37">
        <v>56</v>
      </c>
      <c r="O610" s="37">
        <v>11</v>
      </c>
      <c r="P610" s="37">
        <v>13</v>
      </c>
      <c r="Q610" s="37">
        <v>51</v>
      </c>
      <c r="R610" s="22" t="s">
        <v>1891</v>
      </c>
      <c r="S610" s="22" t="s">
        <v>1892</v>
      </c>
      <c r="AJ610" s="175"/>
      <c r="AK610" s="175"/>
      <c r="AL610" s="175"/>
      <c r="AM610" s="175"/>
      <c r="AN610" s="175"/>
      <c r="AO610" s="175"/>
      <c r="AP610" s="175"/>
      <c r="AS610" s="3"/>
      <c r="BD610" s="97"/>
      <c r="EL610" s="3"/>
      <c r="EM610" s="3"/>
    </row>
    <row r="611" spans="9:143">
      <c r="I611" s="34"/>
      <c r="J611" s="112" t="s">
        <v>1893</v>
      </c>
      <c r="K611" s="112" t="s">
        <v>1893</v>
      </c>
      <c r="L611" s="37">
        <v>13</v>
      </c>
      <c r="M611" s="37">
        <v>10</v>
      </c>
      <c r="N611" s="37">
        <v>56.3</v>
      </c>
      <c r="O611" s="37">
        <v>37</v>
      </c>
      <c r="P611" s="37">
        <v>3</v>
      </c>
      <c r="Q611" s="37">
        <v>32</v>
      </c>
      <c r="R611" s="22" t="s">
        <v>1894</v>
      </c>
      <c r="S611" s="22" t="s">
        <v>1746</v>
      </c>
      <c r="AJ611" s="175"/>
      <c r="AK611" s="175"/>
      <c r="AL611" s="175"/>
      <c r="AM611" s="175"/>
      <c r="AN611" s="175"/>
      <c r="AO611" s="175"/>
      <c r="AP611" s="175"/>
      <c r="AS611" s="3"/>
      <c r="BD611" s="97"/>
      <c r="EL611" s="3"/>
      <c r="EM611" s="3"/>
    </row>
    <row r="612" spans="9:143">
      <c r="I612" s="34"/>
      <c r="J612" s="112" t="s">
        <v>1895</v>
      </c>
      <c r="K612" s="112" t="s">
        <v>1895</v>
      </c>
      <c r="L612" s="37">
        <v>13</v>
      </c>
      <c r="M612" s="37">
        <v>13</v>
      </c>
      <c r="N612" s="37">
        <v>27.5</v>
      </c>
      <c r="O612" s="37">
        <v>36</v>
      </c>
      <c r="P612" s="37">
        <v>35</v>
      </c>
      <c r="Q612" s="37">
        <v>37</v>
      </c>
      <c r="R612" s="22" t="s">
        <v>1896</v>
      </c>
      <c r="S612" s="22" t="s">
        <v>1883</v>
      </c>
      <c r="AJ612" s="175"/>
      <c r="AK612" s="175"/>
      <c r="AL612" s="175"/>
      <c r="AM612" s="175"/>
      <c r="AN612" s="175"/>
      <c r="AO612" s="175"/>
      <c r="AP612" s="175"/>
      <c r="AS612" s="3"/>
      <c r="BD612" s="97"/>
      <c r="EL612" s="3"/>
      <c r="EM612" s="3"/>
    </row>
    <row r="613" spans="9:143">
      <c r="I613" s="34"/>
      <c r="J613" s="112" t="s">
        <v>1897</v>
      </c>
      <c r="K613" s="112" t="s">
        <v>1897</v>
      </c>
      <c r="L613" s="37">
        <v>13</v>
      </c>
      <c r="M613" s="37">
        <v>16</v>
      </c>
      <c r="N613" s="37">
        <v>27.1</v>
      </c>
      <c r="O613" s="37">
        <v>17</v>
      </c>
      <c r="P613" s="37">
        <v>42</v>
      </c>
      <c r="Q613" s="37">
        <v>1</v>
      </c>
      <c r="R613" s="22" t="s">
        <v>1898</v>
      </c>
      <c r="S613" s="22" t="s">
        <v>1899</v>
      </c>
      <c r="AJ613" s="175"/>
      <c r="AK613" s="175"/>
      <c r="AL613" s="175"/>
      <c r="AM613" s="175"/>
      <c r="AN613" s="175"/>
      <c r="AO613" s="175"/>
      <c r="AP613" s="175"/>
      <c r="AS613" s="3"/>
      <c r="BD613" s="97"/>
      <c r="EL613" s="3"/>
      <c r="EM613" s="3"/>
    </row>
    <row r="614" spans="9:143">
      <c r="I614" s="34"/>
      <c r="J614" s="112" t="s">
        <v>1900</v>
      </c>
      <c r="K614" s="112" t="s">
        <v>1900</v>
      </c>
      <c r="L614" s="37">
        <v>13</v>
      </c>
      <c r="M614" s="37">
        <v>21</v>
      </c>
      <c r="N614" s="37">
        <v>57.7</v>
      </c>
      <c r="O614" s="37">
        <v>-36</v>
      </c>
      <c r="P614" s="37">
        <v>-37</v>
      </c>
      <c r="Q614" s="37">
        <v>-49</v>
      </c>
      <c r="R614" s="22" t="s">
        <v>1901</v>
      </c>
      <c r="S614" s="35" t="s">
        <v>1902</v>
      </c>
      <c r="AJ614" s="175"/>
      <c r="AK614" s="175"/>
      <c r="AL614" s="175"/>
      <c r="AM614" s="175"/>
      <c r="AN614" s="175"/>
      <c r="AO614" s="175"/>
      <c r="AP614" s="175"/>
      <c r="AS614" s="3"/>
      <c r="BD614" s="97"/>
      <c r="EL614" s="3"/>
      <c r="EM614" s="3"/>
    </row>
    <row r="615" spans="9:143">
      <c r="I615" s="34"/>
      <c r="J615" s="112" t="s">
        <v>1903</v>
      </c>
      <c r="K615" s="112" t="s">
        <v>1903</v>
      </c>
      <c r="L615" s="37">
        <v>13</v>
      </c>
      <c r="M615" s="37">
        <v>37</v>
      </c>
      <c r="N615" s="37">
        <v>32.1</v>
      </c>
      <c r="O615" s="37">
        <v>8</v>
      </c>
      <c r="P615" s="37">
        <v>53</v>
      </c>
      <c r="Q615" s="37">
        <v>6</v>
      </c>
      <c r="R615" s="22" t="s">
        <v>1904</v>
      </c>
      <c r="S615" s="35" t="s">
        <v>1905</v>
      </c>
      <c r="AI615" s="5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BD615" s="97"/>
      <c r="EL615" s="3"/>
      <c r="EM615" s="3"/>
    </row>
    <row r="616" spans="9:143">
      <c r="I616" s="34"/>
      <c r="J616" s="112" t="s">
        <v>1906</v>
      </c>
      <c r="K616" s="112" t="s">
        <v>1906</v>
      </c>
      <c r="L616" s="37">
        <v>13</v>
      </c>
      <c r="M616" s="37">
        <v>39</v>
      </c>
      <c r="N616" s="37">
        <v>56</v>
      </c>
      <c r="O616" s="37">
        <v>-31</v>
      </c>
      <c r="P616" s="37">
        <v>-38</v>
      </c>
      <c r="Q616" s="37">
        <v>-24</v>
      </c>
      <c r="R616" s="22" t="s">
        <v>1907</v>
      </c>
      <c r="S616" s="35" t="s">
        <v>1908</v>
      </c>
      <c r="AJ616" s="175"/>
      <c r="AK616" s="175"/>
      <c r="AL616" s="175"/>
      <c r="AM616" s="175"/>
      <c r="AN616" s="175"/>
      <c r="AO616" s="175"/>
      <c r="AP616" s="175"/>
      <c r="AS616" s="3"/>
      <c r="BD616" s="97"/>
      <c r="EL616" s="3"/>
      <c r="EM616" s="3"/>
    </row>
    <row r="617" spans="9:143">
      <c r="I617" s="34"/>
      <c r="J617" s="112" t="s">
        <v>1909</v>
      </c>
      <c r="K617" s="112" t="s">
        <v>1909</v>
      </c>
      <c r="L617" s="37">
        <v>13</v>
      </c>
      <c r="M617" s="37">
        <v>53</v>
      </c>
      <c r="N617" s="37">
        <v>26.7</v>
      </c>
      <c r="O617" s="37">
        <v>40</v>
      </c>
      <c r="P617" s="37">
        <v>16</v>
      </c>
      <c r="Q617" s="37">
        <v>59</v>
      </c>
      <c r="R617" s="22" t="s">
        <v>1910</v>
      </c>
      <c r="S617" s="22" t="s">
        <v>1911</v>
      </c>
      <c r="AJ617" s="175"/>
      <c r="AK617" s="175"/>
      <c r="AL617" s="175"/>
      <c r="AM617" s="175"/>
      <c r="AN617" s="175"/>
      <c r="AO617" s="175"/>
      <c r="AP617" s="175"/>
      <c r="AS617" s="3"/>
      <c r="BD617" s="97"/>
      <c r="EL617" s="3"/>
      <c r="EM617" s="3"/>
    </row>
    <row r="618" spans="9:143">
      <c r="I618" s="34"/>
      <c r="J618" s="112" t="s">
        <v>1912</v>
      </c>
      <c r="K618" s="112" t="s">
        <v>1912</v>
      </c>
      <c r="L618" s="37">
        <v>13</v>
      </c>
      <c r="M618" s="37">
        <v>53</v>
      </c>
      <c r="N618" s="37">
        <v>26.7</v>
      </c>
      <c r="O618" s="37">
        <v>40</v>
      </c>
      <c r="P618" s="37">
        <v>18</v>
      </c>
      <c r="Q618" s="37">
        <v>10</v>
      </c>
      <c r="R618" s="22" t="s">
        <v>1910</v>
      </c>
      <c r="S618" s="22" t="s">
        <v>1911</v>
      </c>
      <c r="AJ618" s="175"/>
      <c r="AK618" s="175"/>
      <c r="AL618" s="175"/>
      <c r="AM618" s="175"/>
      <c r="AN618" s="175"/>
      <c r="AO618" s="175"/>
      <c r="AP618" s="175"/>
      <c r="AS618" s="3"/>
      <c r="BD618" s="97"/>
      <c r="EL618" s="3"/>
      <c r="EM618" s="3"/>
    </row>
    <row r="619" spans="9:143">
      <c r="I619" s="34"/>
      <c r="J619" s="112" t="s">
        <v>1913</v>
      </c>
      <c r="K619" s="112" t="s">
        <v>1913</v>
      </c>
      <c r="L619" s="37">
        <v>13</v>
      </c>
      <c r="M619" s="37">
        <v>56</v>
      </c>
      <c r="N619" s="37">
        <v>7.2</v>
      </c>
      <c r="O619" s="37">
        <v>5</v>
      </c>
      <c r="P619" s="37">
        <v>15</v>
      </c>
      <c r="Q619" s="37">
        <v>14</v>
      </c>
      <c r="R619" s="22" t="s">
        <v>1914</v>
      </c>
      <c r="S619" s="35" t="s">
        <v>1915</v>
      </c>
      <c r="AJ619" s="175"/>
      <c r="AK619" s="175"/>
      <c r="AL619" s="175"/>
      <c r="AM619" s="175"/>
      <c r="AN619" s="175"/>
      <c r="AO619" s="175"/>
      <c r="AP619" s="175"/>
      <c r="AS619" s="3"/>
      <c r="BD619" s="97"/>
      <c r="EL619" s="3"/>
      <c r="EM619" s="3"/>
    </row>
    <row r="620" spans="9:143">
      <c r="I620" s="34"/>
      <c r="J620" s="112" t="s">
        <v>1916</v>
      </c>
      <c r="K620" s="112" t="s">
        <v>1916</v>
      </c>
      <c r="L620" s="37">
        <v>13</v>
      </c>
      <c r="M620" s="37">
        <v>56</v>
      </c>
      <c r="N620" s="37">
        <v>12</v>
      </c>
      <c r="O620" s="37">
        <v>5</v>
      </c>
      <c r="P620" s="37">
        <v>0</v>
      </c>
      <c r="Q620" s="37">
        <v>52</v>
      </c>
      <c r="R620" s="22" t="s">
        <v>1917</v>
      </c>
      <c r="S620" s="35" t="s">
        <v>1915</v>
      </c>
      <c r="AJ620" s="175"/>
      <c r="AK620" s="175"/>
      <c r="AL620" s="175"/>
      <c r="AM620" s="175"/>
      <c r="AN620" s="175"/>
      <c r="AO620" s="175"/>
      <c r="AP620" s="175"/>
      <c r="AS620" s="3"/>
      <c r="BD620" s="97"/>
      <c r="EL620" s="3"/>
      <c r="EM620" s="3"/>
    </row>
    <row r="621" spans="9:143">
      <c r="I621" s="34"/>
      <c r="J621" s="112" t="s">
        <v>1918</v>
      </c>
      <c r="K621" s="112" t="s">
        <v>1918</v>
      </c>
      <c r="L621" s="37">
        <v>13</v>
      </c>
      <c r="M621" s="37">
        <v>55</v>
      </c>
      <c r="N621" s="37">
        <v>40</v>
      </c>
      <c r="O621" s="37">
        <v>40</v>
      </c>
      <c r="P621" s="37">
        <v>27</v>
      </c>
      <c r="Q621" s="37">
        <v>42</v>
      </c>
      <c r="R621" s="22" t="s">
        <v>1919</v>
      </c>
      <c r="S621" s="22" t="s">
        <v>1920</v>
      </c>
      <c r="AJ621" s="175"/>
      <c r="AK621" s="175"/>
      <c r="AL621" s="175"/>
      <c r="AM621" s="175"/>
      <c r="AN621" s="175"/>
      <c r="AO621" s="175"/>
      <c r="AP621" s="175"/>
      <c r="AS621" s="3"/>
      <c r="BD621" s="97"/>
      <c r="EL621" s="3"/>
      <c r="EM621" s="3"/>
    </row>
    <row r="622" spans="9:143">
      <c r="I622" s="34"/>
      <c r="J622" s="112" t="s">
        <v>1921</v>
      </c>
      <c r="K622" s="112" t="s">
        <v>1921</v>
      </c>
      <c r="L622" s="37">
        <v>14</v>
      </c>
      <c r="M622" s="37">
        <v>5</v>
      </c>
      <c r="N622" s="37">
        <v>27.3</v>
      </c>
      <c r="O622" s="37">
        <v>28</v>
      </c>
      <c r="P622" s="37">
        <v>32</v>
      </c>
      <c r="Q622" s="37">
        <v>4</v>
      </c>
      <c r="R622" s="22" t="s">
        <v>1922</v>
      </c>
      <c r="S622" s="22" t="s">
        <v>1681</v>
      </c>
      <c r="AJ622" s="175"/>
      <c r="AK622" s="175"/>
      <c r="AL622" s="175"/>
      <c r="AM622" s="175"/>
      <c r="AN622" s="175"/>
      <c r="AO622" s="175"/>
      <c r="AP622" s="175"/>
      <c r="AS622" s="3"/>
      <c r="BD622" s="97"/>
      <c r="EL622" s="3"/>
      <c r="EM622" s="3"/>
    </row>
    <row r="623" spans="9:143">
      <c r="I623" s="34"/>
      <c r="J623" s="112" t="s">
        <v>1923</v>
      </c>
      <c r="K623" s="112" t="s">
        <v>1923</v>
      </c>
      <c r="L623" s="37">
        <v>14</v>
      </c>
      <c r="M623" s="37">
        <v>5</v>
      </c>
      <c r="N623" s="37">
        <v>1.6</v>
      </c>
      <c r="O623" s="37">
        <v>53</v>
      </c>
      <c r="P623" s="37">
        <v>39</v>
      </c>
      <c r="Q623" s="37">
        <v>44</v>
      </c>
      <c r="R623" s="22" t="s">
        <v>1924</v>
      </c>
      <c r="S623" s="22" t="s">
        <v>1925</v>
      </c>
      <c r="AJ623" s="175"/>
      <c r="AK623" s="175"/>
      <c r="AL623" s="175"/>
      <c r="AM623" s="175"/>
      <c r="AN623" s="175"/>
      <c r="AO623" s="175"/>
      <c r="AP623" s="175"/>
      <c r="AS623" s="3"/>
      <c r="BD623" s="97"/>
      <c r="EL623" s="3"/>
      <c r="EM623" s="3"/>
    </row>
    <row r="624" spans="9:143">
      <c r="I624" s="34"/>
      <c r="J624" s="112" t="s">
        <v>1926</v>
      </c>
      <c r="K624" s="112" t="s">
        <v>1926</v>
      </c>
      <c r="L624" s="37">
        <v>14</v>
      </c>
      <c r="M624" s="37">
        <v>20</v>
      </c>
      <c r="N624" s="37">
        <v>19.899999999999999</v>
      </c>
      <c r="O624" s="37">
        <v>3</v>
      </c>
      <c r="P624" s="37">
        <v>56</v>
      </c>
      <c r="Q624" s="37">
        <v>1</v>
      </c>
      <c r="R624" s="22" t="s">
        <v>1927</v>
      </c>
      <c r="S624" s="35" t="s">
        <v>1928</v>
      </c>
      <c r="AJ624" s="175"/>
      <c r="AK624" s="175"/>
      <c r="AL624" s="175"/>
      <c r="AM624" s="175"/>
      <c r="AN624" s="175"/>
      <c r="AO624" s="175"/>
      <c r="AP624" s="175"/>
      <c r="AS624" s="3"/>
      <c r="BD624" s="97"/>
      <c r="EL624" s="3"/>
      <c r="EM624" s="3"/>
    </row>
    <row r="625" spans="9:143">
      <c r="I625" s="34"/>
      <c r="J625" s="112" t="s">
        <v>1929</v>
      </c>
      <c r="K625" s="112" t="s">
        <v>1929</v>
      </c>
      <c r="L625" s="37">
        <v>14</v>
      </c>
      <c r="M625" s="37">
        <v>29</v>
      </c>
      <c r="N625" s="37">
        <v>37.299999999999997</v>
      </c>
      <c r="O625" s="37">
        <v>-5</v>
      </c>
      <c r="P625" s="37">
        <v>-58</v>
      </c>
      <c r="Q625" s="37">
        <v>-35</v>
      </c>
      <c r="R625" s="22" t="s">
        <v>1930</v>
      </c>
      <c r="S625" s="35" t="s">
        <v>1931</v>
      </c>
      <c r="AJ625" s="175"/>
      <c r="AK625" s="175"/>
      <c r="AL625" s="175"/>
      <c r="AM625" s="175"/>
      <c r="AN625" s="175"/>
      <c r="AO625" s="175"/>
      <c r="AP625" s="175"/>
      <c r="AS625" s="3"/>
      <c r="BD625" s="97"/>
      <c r="EL625" s="3"/>
      <c r="EM625" s="3"/>
    </row>
    <row r="626" spans="9:143">
      <c r="I626" s="34"/>
      <c r="J626" s="112" t="s">
        <v>1932</v>
      </c>
      <c r="K626" s="112" t="s">
        <v>1932</v>
      </c>
      <c r="L626" s="37">
        <v>14</v>
      </c>
      <c r="M626" s="37">
        <v>39</v>
      </c>
      <c r="N626" s="37">
        <v>36.5</v>
      </c>
      <c r="O626" s="37">
        <v>-26</v>
      </c>
      <c r="P626" s="37">
        <v>-32</v>
      </c>
      <c r="Q626" s="37">
        <v>-18</v>
      </c>
      <c r="R626" s="22" t="s">
        <v>1933</v>
      </c>
      <c r="S626" s="35" t="s">
        <v>1934</v>
      </c>
      <c r="AJ626" s="175"/>
      <c r="AK626" s="175"/>
      <c r="AL626" s="175"/>
      <c r="AM626" s="175"/>
      <c r="AN626" s="175"/>
      <c r="AO626" s="175"/>
      <c r="AP626" s="175"/>
      <c r="AS626" s="3"/>
      <c r="BD626" s="97"/>
      <c r="EL626" s="3"/>
      <c r="EM626" s="3"/>
    </row>
    <row r="627" spans="9:143">
      <c r="I627" s="34"/>
      <c r="J627" s="112" t="s">
        <v>1935</v>
      </c>
      <c r="K627" s="112" t="s">
        <v>1935</v>
      </c>
      <c r="L627" s="37">
        <v>14</v>
      </c>
      <c r="M627" s="37">
        <v>44</v>
      </c>
      <c r="N627" s="37">
        <v>56</v>
      </c>
      <c r="O627" s="37">
        <v>1</v>
      </c>
      <c r="P627" s="37">
        <v>57</v>
      </c>
      <c r="Q627" s="37">
        <v>17</v>
      </c>
      <c r="R627" s="22" t="s">
        <v>1936</v>
      </c>
      <c r="S627" s="35" t="s">
        <v>1937</v>
      </c>
      <c r="AJ627" s="175"/>
      <c r="AK627" s="175"/>
      <c r="AL627" s="175"/>
      <c r="AM627" s="175"/>
      <c r="AN627" s="175"/>
      <c r="AO627" s="175"/>
      <c r="AP627" s="175"/>
      <c r="AS627" s="3"/>
      <c r="BD627" s="97"/>
      <c r="EL627" s="3"/>
      <c r="EM627" s="3"/>
    </row>
    <row r="628" spans="9:143">
      <c r="I628" s="34"/>
      <c r="J628" s="112" t="s">
        <v>1938</v>
      </c>
      <c r="K628" s="112" t="s">
        <v>1938</v>
      </c>
      <c r="L628" s="37">
        <v>15</v>
      </c>
      <c r="M628" s="37">
        <v>1</v>
      </c>
      <c r="N628" s="37">
        <v>11.3</v>
      </c>
      <c r="O628" s="37">
        <v>1</v>
      </c>
      <c r="P628" s="37">
        <v>42</v>
      </c>
      <c r="Q628" s="37">
        <v>8</v>
      </c>
      <c r="R628" s="22" t="s">
        <v>1939</v>
      </c>
      <c r="S628" s="35" t="s">
        <v>1940</v>
      </c>
      <c r="AJ628" s="175"/>
      <c r="AK628" s="175"/>
      <c r="AL628" s="175"/>
      <c r="AM628" s="175"/>
      <c r="AN628" s="175"/>
      <c r="AO628" s="175"/>
      <c r="AP628" s="175"/>
      <c r="AS628" s="3"/>
      <c r="BD628" s="97"/>
      <c r="EL628" s="3"/>
      <c r="EM628" s="3"/>
    </row>
    <row r="629" spans="9:143">
      <c r="I629" s="34"/>
      <c r="J629" s="112" t="s">
        <v>1941</v>
      </c>
      <c r="K629" s="112" t="s">
        <v>1941</v>
      </c>
      <c r="L629" s="37">
        <v>15</v>
      </c>
      <c r="M629" s="37">
        <v>3</v>
      </c>
      <c r="N629" s="37">
        <v>58.6</v>
      </c>
      <c r="O629" s="37">
        <v>-33</v>
      </c>
      <c r="P629" s="37">
        <v>-4</v>
      </c>
      <c r="Q629" s="37">
        <v>-7</v>
      </c>
      <c r="R629" s="22" t="s">
        <v>1942</v>
      </c>
      <c r="S629" s="35" t="s">
        <v>1943</v>
      </c>
      <c r="AJ629" s="175"/>
      <c r="AK629" s="175"/>
      <c r="AL629" s="175"/>
      <c r="AM629" s="175"/>
      <c r="AN629" s="175"/>
      <c r="AO629" s="175"/>
      <c r="AP629" s="175"/>
      <c r="AS629" s="3"/>
      <c r="BD629" s="97"/>
      <c r="EL629" s="3"/>
      <c r="EM629" s="3"/>
    </row>
    <row r="630" spans="9:143">
      <c r="I630" s="34"/>
      <c r="J630" s="112" t="s">
        <v>1944</v>
      </c>
      <c r="K630" s="112" t="s">
        <v>1944</v>
      </c>
      <c r="L630" s="37">
        <v>15</v>
      </c>
      <c r="M630" s="37">
        <v>6</v>
      </c>
      <c r="N630" s="37">
        <v>29.2</v>
      </c>
      <c r="O630" s="37">
        <v>1</v>
      </c>
      <c r="P630" s="37">
        <v>36</v>
      </c>
      <c r="Q630" s="37">
        <v>20</v>
      </c>
      <c r="R630" s="22" t="s">
        <v>1945</v>
      </c>
      <c r="S630" s="35" t="s">
        <v>1681</v>
      </c>
      <c r="AJ630" s="175"/>
      <c r="AK630" s="175"/>
      <c r="AL630" s="175"/>
      <c r="AM630" s="175"/>
      <c r="AN630" s="175"/>
      <c r="AO630" s="175"/>
      <c r="AP630" s="175"/>
      <c r="AS630" s="3"/>
      <c r="BD630" s="97"/>
      <c r="EL630" s="3"/>
      <c r="EM630" s="3"/>
    </row>
    <row r="631" spans="9:143">
      <c r="I631" s="34"/>
      <c r="J631" s="112" t="s">
        <v>1946</v>
      </c>
      <c r="K631" s="112" t="s">
        <v>1946</v>
      </c>
      <c r="L631" s="37">
        <v>15</v>
      </c>
      <c r="M631" s="37">
        <v>7</v>
      </c>
      <c r="N631" s="37">
        <v>7.7</v>
      </c>
      <c r="O631" s="37">
        <v>1</v>
      </c>
      <c r="P631" s="37">
        <v>32</v>
      </c>
      <c r="Q631" s="37">
        <v>39</v>
      </c>
      <c r="R631" s="22" t="s">
        <v>1947</v>
      </c>
      <c r="S631" s="35" t="s">
        <v>1681</v>
      </c>
      <c r="AJ631" s="175"/>
      <c r="AK631" s="175"/>
      <c r="AL631" s="175"/>
      <c r="AM631" s="175"/>
      <c r="AN631" s="175"/>
      <c r="AO631" s="175"/>
      <c r="AP631" s="175"/>
      <c r="AS631" s="3"/>
      <c r="BD631" s="97"/>
      <c r="EL631" s="3"/>
      <c r="EM631" s="3"/>
    </row>
    <row r="632" spans="9:143">
      <c r="I632" s="34"/>
      <c r="J632" s="112" t="s">
        <v>1948</v>
      </c>
      <c r="K632" s="112" t="s">
        <v>1948</v>
      </c>
      <c r="L632" s="37">
        <v>15</v>
      </c>
      <c r="M632" s="37">
        <v>6</v>
      </c>
      <c r="N632" s="37">
        <v>29.6</v>
      </c>
      <c r="O632" s="37">
        <v>55</v>
      </c>
      <c r="P632" s="37">
        <v>45</v>
      </c>
      <c r="Q632" s="37">
        <v>48</v>
      </c>
      <c r="R632" s="22" t="s">
        <v>1949</v>
      </c>
      <c r="S632" s="22" t="s">
        <v>1950</v>
      </c>
      <c r="AJ632" s="175"/>
      <c r="AK632" s="175"/>
      <c r="AL632" s="175"/>
      <c r="AM632" s="175"/>
      <c r="AN632" s="175"/>
      <c r="AO632" s="175"/>
      <c r="AP632" s="175"/>
      <c r="AS632" s="3"/>
      <c r="BD632" s="97"/>
      <c r="EL632" s="3"/>
      <c r="EM632" s="3"/>
    </row>
    <row r="633" spans="9:143">
      <c r="I633" s="34"/>
      <c r="J633" s="112" t="s">
        <v>1951</v>
      </c>
      <c r="K633" s="112" t="s">
        <v>1951</v>
      </c>
      <c r="L633" s="37">
        <v>15</v>
      </c>
      <c r="M633" s="37">
        <v>17</v>
      </c>
      <c r="N633" s="37">
        <v>24.4</v>
      </c>
      <c r="O633" s="37">
        <v>-21</v>
      </c>
      <c r="P633" s="37">
        <v>0</v>
      </c>
      <c r="Q633" s="37">
        <v>-36</v>
      </c>
      <c r="R633" s="22" t="s">
        <v>1952</v>
      </c>
      <c r="S633" s="35" t="s">
        <v>1953</v>
      </c>
      <c r="AJ633" s="175"/>
      <c r="AK633" s="175"/>
      <c r="AL633" s="175"/>
      <c r="AM633" s="175"/>
      <c r="AN633" s="175"/>
      <c r="AO633" s="175"/>
      <c r="AP633" s="175"/>
      <c r="AS633" s="3"/>
      <c r="BD633" s="97"/>
      <c r="EL633" s="3"/>
      <c r="EM633" s="3"/>
    </row>
    <row r="634" spans="9:143">
      <c r="I634" s="34"/>
      <c r="J634" s="112" t="s">
        <v>1954</v>
      </c>
      <c r="K634" s="112" t="s">
        <v>1954</v>
      </c>
      <c r="L634" s="37">
        <v>15</v>
      </c>
      <c r="M634" s="37">
        <v>15</v>
      </c>
      <c r="N634" s="37">
        <v>53.7</v>
      </c>
      <c r="O634" s="37">
        <v>56</v>
      </c>
      <c r="P634" s="37">
        <v>19</v>
      </c>
      <c r="Q634" s="37">
        <v>44</v>
      </c>
      <c r="R634" s="22" t="s">
        <v>1955</v>
      </c>
      <c r="S634" s="22" t="s">
        <v>1704</v>
      </c>
      <c r="AJ634" s="175"/>
      <c r="AK634" s="175"/>
      <c r="AL634" s="175"/>
      <c r="AM634" s="175"/>
      <c r="AN634" s="175"/>
      <c r="AO634" s="175"/>
      <c r="AP634" s="175"/>
      <c r="AS634" s="3"/>
      <c r="BD634" s="97"/>
      <c r="EL634" s="3"/>
      <c r="EM634" s="3"/>
    </row>
    <row r="635" spans="9:143">
      <c r="I635" s="34"/>
      <c r="J635" s="156" t="s">
        <v>1956</v>
      </c>
      <c r="K635" s="156" t="s">
        <v>1956</v>
      </c>
      <c r="L635" s="22">
        <v>15</v>
      </c>
      <c r="M635" s="22">
        <v>38</v>
      </c>
      <c r="N635" s="22">
        <v>39.799999999999997</v>
      </c>
      <c r="O635" s="22">
        <v>59</v>
      </c>
      <c r="P635" s="22">
        <v>21</v>
      </c>
      <c r="Q635" s="22">
        <v>21</v>
      </c>
      <c r="R635" s="22" t="s">
        <v>1957</v>
      </c>
      <c r="S635" s="22" t="s">
        <v>1681</v>
      </c>
      <c r="AJ635" s="175"/>
      <c r="AK635" s="175"/>
      <c r="AL635" s="175"/>
      <c r="AM635" s="175"/>
      <c r="AN635" s="175"/>
      <c r="AO635" s="175"/>
      <c r="AP635" s="175"/>
      <c r="AS635" s="3"/>
      <c r="BD635" s="97"/>
      <c r="EL635" s="3"/>
      <c r="EM635" s="3"/>
    </row>
    <row r="636" spans="9:143">
      <c r="I636" s="34"/>
      <c r="J636" s="156" t="s">
        <v>1958</v>
      </c>
      <c r="K636" s="156" t="s">
        <v>1958</v>
      </c>
      <c r="L636" s="22">
        <v>15</v>
      </c>
      <c r="M636" s="22">
        <v>39</v>
      </c>
      <c r="N636" s="22">
        <v>37.1</v>
      </c>
      <c r="O636" s="22">
        <v>59</v>
      </c>
      <c r="P636" s="22">
        <v>19</v>
      </c>
      <c r="Q636" s="22">
        <v>55</v>
      </c>
      <c r="R636" s="22" t="s">
        <v>1959</v>
      </c>
      <c r="S636" s="22" t="s">
        <v>1960</v>
      </c>
      <c r="V636" s="5"/>
      <c r="W636" s="5"/>
      <c r="X636" s="283" t="s">
        <v>3101</v>
      </c>
      <c r="Y636" s="5"/>
      <c r="Z636" s="342"/>
      <c r="AA636" s="5"/>
      <c r="AB636" s="5"/>
      <c r="AC636" s="5"/>
      <c r="AD636" s="5"/>
      <c r="AE636" s="5"/>
      <c r="AF636" s="5"/>
      <c r="AG636" s="5"/>
      <c r="AJ636" s="175"/>
      <c r="AK636" s="175"/>
      <c r="AL636" s="175"/>
      <c r="AM636" s="175"/>
      <c r="AN636" s="175"/>
      <c r="AO636" s="175"/>
      <c r="AP636" s="175"/>
      <c r="AS636" s="3"/>
      <c r="BD636" s="97"/>
      <c r="EL636" s="3"/>
      <c r="EM636" s="3"/>
    </row>
    <row r="637" spans="9:143">
      <c r="I637" s="34"/>
      <c r="J637" s="156" t="s">
        <v>1961</v>
      </c>
      <c r="K637" s="156" t="s">
        <v>1961</v>
      </c>
      <c r="L637" s="22">
        <v>16</v>
      </c>
      <c r="M637" s="22">
        <v>22</v>
      </c>
      <c r="N637" s="22">
        <v>21</v>
      </c>
      <c r="O637" s="22">
        <v>19</v>
      </c>
      <c r="P637" s="22">
        <v>49</v>
      </c>
      <c r="Q637" s="22">
        <v>36</v>
      </c>
      <c r="R637" s="22" t="s">
        <v>1962</v>
      </c>
      <c r="S637" s="22" t="s">
        <v>1963</v>
      </c>
      <c r="AJ637" s="175"/>
      <c r="AK637" s="175"/>
      <c r="AL637" s="175"/>
      <c r="AM637" s="175"/>
      <c r="AN637" s="175"/>
      <c r="AO637" s="175"/>
      <c r="AP637" s="175"/>
      <c r="AS637" s="3"/>
      <c r="BD637" s="97"/>
      <c r="EL637" s="3"/>
      <c r="EM637" s="3"/>
    </row>
    <row r="638" spans="9:143">
      <c r="I638" s="34"/>
      <c r="J638" s="156" t="s">
        <v>1964</v>
      </c>
      <c r="K638" s="156" t="s">
        <v>1964</v>
      </c>
      <c r="L638" s="22">
        <v>16</v>
      </c>
      <c r="M638" s="22">
        <v>43</v>
      </c>
      <c r="N638" s="22">
        <v>3.7</v>
      </c>
      <c r="O638" s="22">
        <v>36</v>
      </c>
      <c r="P638" s="22">
        <v>49</v>
      </c>
      <c r="Q638" s="22">
        <v>57</v>
      </c>
      <c r="R638" s="22" t="s">
        <v>1965</v>
      </c>
      <c r="S638" s="22" t="s">
        <v>1966</v>
      </c>
      <c r="AJ638" s="175"/>
      <c r="AK638" s="175"/>
      <c r="AL638" s="175"/>
      <c r="AM638" s="175"/>
      <c r="AN638" s="175"/>
      <c r="AO638" s="175"/>
      <c r="AP638" s="175"/>
      <c r="AS638" s="3"/>
      <c r="BD638" s="97"/>
      <c r="EL638" s="3"/>
      <c r="EM638" s="3"/>
    </row>
    <row r="639" spans="9:143">
      <c r="I639" s="34"/>
      <c r="J639" s="156" t="s">
        <v>1967</v>
      </c>
      <c r="K639" s="156" t="s">
        <v>1967</v>
      </c>
      <c r="L639" s="22">
        <v>16</v>
      </c>
      <c r="M639" s="22">
        <v>44</v>
      </c>
      <c r="N639" s="22">
        <v>29.5</v>
      </c>
      <c r="O639" s="22">
        <v>23</v>
      </c>
      <c r="P639" s="22">
        <v>48</v>
      </c>
      <c r="Q639" s="22">
        <v>0</v>
      </c>
      <c r="R639" s="22" t="s">
        <v>1968</v>
      </c>
      <c r="S639" s="128" t="s">
        <v>1969</v>
      </c>
      <c r="AJ639" s="175"/>
      <c r="AK639" s="175"/>
      <c r="AL639" s="175"/>
      <c r="AM639" s="175"/>
      <c r="AN639" s="175"/>
      <c r="AO639" s="175"/>
      <c r="AP639" s="175"/>
      <c r="AS639" s="3"/>
      <c r="BD639" s="97"/>
      <c r="EL639" s="3"/>
      <c r="EM639" s="3"/>
    </row>
    <row r="640" spans="9:143">
      <c r="I640" s="34"/>
      <c r="J640" s="156" t="s">
        <v>1970</v>
      </c>
      <c r="K640" s="156" t="s">
        <v>1970</v>
      </c>
      <c r="L640" s="22">
        <v>16</v>
      </c>
      <c r="M640" s="22">
        <v>46</v>
      </c>
      <c r="N640" s="22">
        <v>58.6</v>
      </c>
      <c r="O640" s="22">
        <v>47</v>
      </c>
      <c r="P640" s="22">
        <v>31</v>
      </c>
      <c r="Q640" s="22">
        <v>36</v>
      </c>
      <c r="R640" s="22" t="s">
        <v>1971</v>
      </c>
      <c r="S640" s="22" t="s">
        <v>1972</v>
      </c>
      <c r="AJ640" s="175"/>
      <c r="AK640" s="175"/>
      <c r="AL640" s="175"/>
      <c r="AM640" s="175"/>
      <c r="AN640" s="175"/>
      <c r="AO640" s="175"/>
      <c r="AP640" s="175"/>
      <c r="AS640" s="3"/>
      <c r="BD640" s="97"/>
      <c r="EL640" s="3"/>
      <c r="EM640" s="3"/>
    </row>
    <row r="641" spans="9:143">
      <c r="I641" s="34"/>
      <c r="J641" s="156" t="s">
        <v>1973</v>
      </c>
      <c r="K641" s="156" t="s">
        <v>1973</v>
      </c>
      <c r="L641" s="22">
        <v>17</v>
      </c>
      <c r="M641" s="22">
        <v>10</v>
      </c>
      <c r="N641" s="22">
        <v>10.4</v>
      </c>
      <c r="O641" s="22">
        <v>-26</v>
      </c>
      <c r="P641" s="22">
        <v>-34</v>
      </c>
      <c r="Q641" s="22">
        <v>-54</v>
      </c>
      <c r="R641" s="22" t="s">
        <v>1974</v>
      </c>
      <c r="S641" s="22" t="s">
        <v>1975</v>
      </c>
      <c r="AJ641" s="175"/>
      <c r="AK641" s="175"/>
      <c r="AL641" s="175"/>
      <c r="AM641" s="175"/>
      <c r="AN641" s="175"/>
      <c r="AO641" s="175"/>
      <c r="AP641" s="175"/>
      <c r="AS641" s="3"/>
      <c r="BD641" s="97"/>
      <c r="EL641" s="3"/>
      <c r="EM641" s="3"/>
    </row>
    <row r="642" spans="9:143">
      <c r="I642" s="34"/>
      <c r="J642" s="156" t="s">
        <v>1976</v>
      </c>
      <c r="K642" s="156" t="s">
        <v>1976</v>
      </c>
      <c r="L642" s="22">
        <v>17</v>
      </c>
      <c r="M642" s="22">
        <v>13</v>
      </c>
      <c r="N642" s="22">
        <v>44.3</v>
      </c>
      <c r="O642" s="22">
        <v>-37</v>
      </c>
      <c r="P642" s="22">
        <v>-6</v>
      </c>
      <c r="Q642" s="22">
        <v>-11</v>
      </c>
      <c r="R642" s="22" t="s">
        <v>1977</v>
      </c>
      <c r="S642" s="128" t="s">
        <v>1978</v>
      </c>
      <c r="AJ642" s="175"/>
      <c r="AK642" s="175"/>
      <c r="AL642" s="175"/>
      <c r="AM642" s="175"/>
      <c r="AN642" s="175"/>
      <c r="AO642" s="175"/>
      <c r="AP642" s="175"/>
      <c r="AS642" s="3"/>
      <c r="BD642" s="97"/>
      <c r="EL642" s="3"/>
      <c r="EM642" s="3"/>
    </row>
    <row r="643" spans="9:143">
      <c r="I643" s="34"/>
      <c r="J643" s="156" t="s">
        <v>1979</v>
      </c>
      <c r="K643" s="156" t="s">
        <v>1979</v>
      </c>
      <c r="L643" s="22">
        <v>17</v>
      </c>
      <c r="M643" s="22">
        <v>14</v>
      </c>
      <c r="N643" s="22">
        <v>32.200000000000003</v>
      </c>
      <c r="O643" s="22">
        <v>-29</v>
      </c>
      <c r="P643" s="22">
        <v>-27</v>
      </c>
      <c r="Q643" s="22">
        <v>-43</v>
      </c>
      <c r="R643" s="22" t="s">
        <v>1980</v>
      </c>
      <c r="S643" s="22" t="s">
        <v>1981</v>
      </c>
      <c r="AJ643" s="175"/>
      <c r="AK643" s="175"/>
      <c r="AL643" s="175"/>
      <c r="AM643" s="175"/>
      <c r="AN643" s="175"/>
      <c r="AO643" s="175"/>
      <c r="AP643" s="175"/>
      <c r="AS643" s="3"/>
      <c r="BD643" s="97"/>
      <c r="EL643" s="3"/>
      <c r="EM643" s="3"/>
    </row>
    <row r="644" spans="9:143">
      <c r="I644" s="34"/>
      <c r="J644" s="156" t="s">
        <v>1982</v>
      </c>
      <c r="K644" s="156" t="s">
        <v>1982</v>
      </c>
      <c r="L644" s="22">
        <v>17</v>
      </c>
      <c r="M644" s="22">
        <v>14</v>
      </c>
      <c r="N644" s="22">
        <v>4.3</v>
      </c>
      <c r="O644" s="22">
        <v>-12</v>
      </c>
      <c r="P644" s="22">
        <v>-54</v>
      </c>
      <c r="Q644" s="22">
        <v>-36</v>
      </c>
      <c r="R644" s="22" t="s">
        <v>1983</v>
      </c>
      <c r="S644" s="128" t="s">
        <v>1984</v>
      </c>
      <c r="AJ644" s="175"/>
      <c r="AK644" s="175"/>
      <c r="AL644" s="175"/>
      <c r="AM644" s="175"/>
      <c r="AN644" s="175"/>
      <c r="AO644" s="175"/>
      <c r="AP644" s="175"/>
      <c r="AS644" s="3"/>
      <c r="BD644" s="97"/>
      <c r="EL644" s="3"/>
      <c r="EM644" s="3"/>
    </row>
    <row r="645" spans="9:143">
      <c r="I645" s="34"/>
      <c r="J645" s="156" t="s">
        <v>1985</v>
      </c>
      <c r="K645" s="156" t="s">
        <v>1985</v>
      </c>
      <c r="L645" s="22">
        <v>17</v>
      </c>
      <c r="M645" s="22">
        <v>16</v>
      </c>
      <c r="N645" s="22">
        <v>37.4</v>
      </c>
      <c r="O645" s="22">
        <v>-28</v>
      </c>
      <c r="P645" s="22">
        <v>-8</v>
      </c>
      <c r="Q645" s="22">
        <v>-24</v>
      </c>
      <c r="R645" s="22" t="s">
        <v>1986</v>
      </c>
      <c r="S645" s="22" t="s">
        <v>1987</v>
      </c>
      <c r="AJ645" s="175"/>
      <c r="AK645" s="175"/>
      <c r="AL645" s="175"/>
      <c r="AM645" s="175"/>
      <c r="AN645" s="175"/>
      <c r="AO645" s="175"/>
      <c r="AP645" s="175"/>
      <c r="AS645" s="3"/>
      <c r="BD645" s="97"/>
      <c r="EL645" s="3"/>
      <c r="EM645" s="3"/>
    </row>
    <row r="646" spans="9:143">
      <c r="I646" s="34"/>
      <c r="J646" s="156" t="s">
        <v>1988</v>
      </c>
      <c r="K646" s="156" t="s">
        <v>1988</v>
      </c>
      <c r="L646" s="22">
        <v>17</v>
      </c>
      <c r="M646" s="22">
        <v>23</v>
      </c>
      <c r="N646" s="22">
        <v>35</v>
      </c>
      <c r="O646" s="22">
        <v>-17</v>
      </c>
      <c r="P646" s="22">
        <v>-48</v>
      </c>
      <c r="Q646" s="22">
        <v>-47</v>
      </c>
      <c r="R646" s="22" t="s">
        <v>1989</v>
      </c>
      <c r="S646" s="22" t="s">
        <v>1990</v>
      </c>
      <c r="AJ646" s="175"/>
      <c r="AK646" s="175"/>
      <c r="AL646" s="175"/>
      <c r="AM646" s="175"/>
      <c r="AN646" s="175"/>
      <c r="AO646" s="175"/>
      <c r="AP646" s="175"/>
      <c r="AS646" s="3"/>
      <c r="BD646" s="97"/>
      <c r="EL646" s="3"/>
      <c r="EM646" s="3"/>
    </row>
    <row r="647" spans="9:143">
      <c r="I647" s="34"/>
      <c r="J647" s="156" t="s">
        <v>1991</v>
      </c>
      <c r="K647" s="156" t="s">
        <v>1991</v>
      </c>
      <c r="L647" s="22">
        <v>17</v>
      </c>
      <c r="M647" s="22">
        <v>27</v>
      </c>
      <c r="N647" s="22">
        <v>44.2</v>
      </c>
      <c r="O647" s="22">
        <v>-5</v>
      </c>
      <c r="P647" s="22">
        <v>-4</v>
      </c>
      <c r="Q647" s="22">
        <v>-47</v>
      </c>
      <c r="R647" s="22" t="s">
        <v>1992</v>
      </c>
      <c r="S647" s="22" t="s">
        <v>1993</v>
      </c>
      <c r="AJ647" s="175"/>
      <c r="AK647" s="175"/>
      <c r="AL647" s="175"/>
      <c r="AM647" s="175"/>
      <c r="AN647" s="175"/>
      <c r="AO647" s="175"/>
      <c r="AP647" s="175"/>
      <c r="AS647" s="3"/>
      <c r="BD647" s="97"/>
      <c r="EL647" s="3"/>
      <c r="EM647" s="3"/>
    </row>
    <row r="648" spans="9:143">
      <c r="I648" s="34"/>
      <c r="J648" s="156" t="s">
        <v>1994</v>
      </c>
      <c r="K648" s="156" t="s">
        <v>1994</v>
      </c>
      <c r="L648" s="22">
        <v>17</v>
      </c>
      <c r="M648" s="22">
        <v>29</v>
      </c>
      <c r="N648" s="22">
        <v>20.399999999999999</v>
      </c>
      <c r="O648" s="22">
        <v>-23</v>
      </c>
      <c r="P648" s="22">
        <v>-45</v>
      </c>
      <c r="Q648" s="22">
        <v>-35</v>
      </c>
      <c r="R648" s="22" t="s">
        <v>1995</v>
      </c>
      <c r="S648" s="128" t="s">
        <v>1996</v>
      </c>
      <c r="AJ648" s="175"/>
      <c r="AK648" s="175"/>
      <c r="AL648" s="175"/>
      <c r="AM648" s="175"/>
      <c r="AN648" s="175"/>
      <c r="AO648" s="175"/>
      <c r="AP648" s="175"/>
      <c r="AS648" s="3"/>
      <c r="BD648" s="97"/>
      <c r="EL648" s="3"/>
      <c r="EM648" s="3"/>
    </row>
    <row r="649" spans="9:143">
      <c r="I649" s="34"/>
      <c r="J649" s="156" t="s">
        <v>1997</v>
      </c>
      <c r="K649" s="156" t="s">
        <v>1997</v>
      </c>
      <c r="L649" s="22">
        <v>17</v>
      </c>
      <c r="M649" s="22">
        <v>34</v>
      </c>
      <c r="N649" s="22">
        <v>48</v>
      </c>
      <c r="O649" s="22">
        <v>-32</v>
      </c>
      <c r="P649" s="22">
        <v>-34</v>
      </c>
      <c r="Q649" s="22">
        <v>0</v>
      </c>
      <c r="R649" s="22" t="s">
        <v>1998</v>
      </c>
      <c r="S649" s="22" t="s">
        <v>1999</v>
      </c>
      <c r="AJ649" s="175"/>
      <c r="AK649" s="175"/>
      <c r="AL649" s="175"/>
      <c r="AM649" s="175"/>
      <c r="AN649" s="175"/>
      <c r="AO649" s="175"/>
      <c r="AP649" s="175"/>
      <c r="AS649" s="3"/>
      <c r="BD649" s="97"/>
      <c r="EL649" s="3"/>
      <c r="EM649" s="3"/>
    </row>
    <row r="650" spans="9:143">
      <c r="I650" s="34"/>
      <c r="J650" s="156" t="s">
        <v>2000</v>
      </c>
      <c r="K650" s="156" t="s">
        <v>2000</v>
      </c>
      <c r="L650" s="22">
        <v>17</v>
      </c>
      <c r="M650" s="22">
        <v>34</v>
      </c>
      <c r="N650" s="22">
        <v>48</v>
      </c>
      <c r="O650" s="22">
        <v>-32</v>
      </c>
      <c r="P650" s="22">
        <v>-34</v>
      </c>
      <c r="Q650" s="22">
        <v>0</v>
      </c>
      <c r="R650" s="22" t="s">
        <v>2001</v>
      </c>
      <c r="S650" s="22" t="s">
        <v>1999</v>
      </c>
      <c r="AJ650" s="175"/>
      <c r="AK650" s="175"/>
      <c r="AL650" s="175"/>
      <c r="AM650" s="175"/>
      <c r="AN650" s="175"/>
      <c r="AO650" s="175"/>
      <c r="AP650" s="175"/>
      <c r="AS650" s="3"/>
      <c r="BD650" s="97"/>
      <c r="EL650" s="3"/>
      <c r="EM650" s="3"/>
    </row>
    <row r="651" spans="9:143">
      <c r="I651" s="34"/>
      <c r="J651" s="156" t="s">
        <v>2002</v>
      </c>
      <c r="K651" s="156" t="s">
        <v>2002</v>
      </c>
      <c r="L651" s="22">
        <v>17</v>
      </c>
      <c r="M651" s="22">
        <v>32</v>
      </c>
      <c r="N651" s="22">
        <v>24.3</v>
      </c>
      <c r="O651" s="22">
        <v>7</v>
      </c>
      <c r="P651" s="22">
        <v>3</v>
      </c>
      <c r="Q651" s="22">
        <v>39</v>
      </c>
      <c r="R651" s="22" t="s">
        <v>2003</v>
      </c>
      <c r="S651" s="22" t="s">
        <v>2004</v>
      </c>
      <c r="AJ651" s="175"/>
      <c r="AK651" s="175"/>
      <c r="AL651" s="175"/>
      <c r="AM651" s="175"/>
      <c r="AN651" s="175"/>
      <c r="AO651" s="175"/>
      <c r="AP651" s="175"/>
      <c r="AS651" s="3"/>
      <c r="BD651" s="97"/>
      <c r="EL651" s="3"/>
      <c r="EM651" s="3"/>
    </row>
    <row r="652" spans="9:143">
      <c r="I652" s="34"/>
      <c r="J652" s="156" t="s">
        <v>2005</v>
      </c>
      <c r="K652" s="156" t="s">
        <v>2005</v>
      </c>
      <c r="L652" s="22">
        <v>17</v>
      </c>
      <c r="M652" s="22">
        <v>49</v>
      </c>
      <c r="N652" s="22">
        <v>26.5</v>
      </c>
      <c r="O652" s="22">
        <v>70</v>
      </c>
      <c r="P652" s="22">
        <v>8</v>
      </c>
      <c r="Q652" s="22">
        <v>40</v>
      </c>
      <c r="R652" s="22" t="s">
        <v>2006</v>
      </c>
      <c r="S652" s="22" t="s">
        <v>2007</v>
      </c>
      <c r="AJ652" s="175"/>
      <c r="AK652" s="175"/>
      <c r="AL652" s="175"/>
      <c r="AM652" s="175"/>
      <c r="AN652" s="175"/>
      <c r="AO652" s="175"/>
      <c r="AP652" s="175"/>
      <c r="AS652" s="3"/>
      <c r="BD652" s="97"/>
      <c r="EL652" s="3"/>
      <c r="EM652" s="3"/>
    </row>
    <row r="653" spans="9:143">
      <c r="I653" s="34"/>
      <c r="J653" s="156" t="s">
        <v>2008</v>
      </c>
      <c r="K653" s="156" t="s">
        <v>2008</v>
      </c>
      <c r="L653" s="22">
        <v>18</v>
      </c>
      <c r="M653" s="22">
        <v>4</v>
      </c>
      <c r="N653" s="22">
        <v>48.7</v>
      </c>
      <c r="O653" s="22">
        <v>-7</v>
      </c>
      <c r="P653" s="22">
        <v>-35</v>
      </c>
      <c r="Q653" s="22">
        <v>-9</v>
      </c>
      <c r="R653" s="22" t="s">
        <v>2009</v>
      </c>
      <c r="S653" s="22" t="s">
        <v>2010</v>
      </c>
      <c r="AJ653" s="175"/>
      <c r="AK653" s="175"/>
      <c r="AL653" s="175"/>
      <c r="AM653" s="175"/>
      <c r="AN653" s="175"/>
      <c r="AO653" s="175"/>
      <c r="AP653" s="175"/>
      <c r="AS653" s="3"/>
      <c r="BD653" s="97"/>
      <c r="EL653" s="3"/>
      <c r="EM653" s="3"/>
    </row>
    <row r="654" spans="9:143">
      <c r="I654" s="34"/>
      <c r="J654" s="156" t="s">
        <v>2011</v>
      </c>
      <c r="K654" s="156" t="s">
        <v>2011</v>
      </c>
      <c r="L654" s="22">
        <v>17</v>
      </c>
      <c r="M654" s="22">
        <v>58</v>
      </c>
      <c r="N654" s="22">
        <v>33.4</v>
      </c>
      <c r="O654" s="22">
        <v>66</v>
      </c>
      <c r="P654" s="22">
        <v>38</v>
      </c>
      <c r="Q654" s="22">
        <v>0</v>
      </c>
      <c r="R654" s="22" t="s">
        <v>2012</v>
      </c>
      <c r="S654" s="22" t="s">
        <v>2013</v>
      </c>
      <c r="AJ654" s="175"/>
      <c r="AK654" s="175"/>
      <c r="AL654" s="175"/>
      <c r="AM654" s="175"/>
      <c r="AN654" s="175"/>
      <c r="AO654" s="175"/>
      <c r="AP654" s="175"/>
      <c r="AS654" s="3"/>
      <c r="BD654" s="97"/>
      <c r="EL654" s="3"/>
      <c r="EM654" s="3"/>
    </row>
    <row r="655" spans="9:143">
      <c r="I655" s="34"/>
      <c r="J655" s="156" t="s">
        <v>2014</v>
      </c>
      <c r="K655" s="156" t="s">
        <v>2014</v>
      </c>
      <c r="L655" s="22">
        <v>18</v>
      </c>
      <c r="M655" s="22">
        <v>12</v>
      </c>
      <c r="N655" s="22">
        <v>6.4</v>
      </c>
      <c r="O655" s="22">
        <v>6</v>
      </c>
      <c r="P655" s="22">
        <v>51</v>
      </c>
      <c r="Q655" s="22">
        <v>13</v>
      </c>
      <c r="R655" s="22" t="s">
        <v>2015</v>
      </c>
      <c r="S655" s="128" t="s">
        <v>1969</v>
      </c>
      <c r="AJ655" s="175"/>
      <c r="AK655" s="175"/>
      <c r="AL655" s="175"/>
      <c r="AM655" s="175"/>
      <c r="AN655" s="175"/>
      <c r="AO655" s="175"/>
      <c r="AP655" s="175"/>
      <c r="AS655" s="3"/>
      <c r="BD655" s="97"/>
      <c r="EL655" s="3"/>
      <c r="EM655" s="3"/>
    </row>
    <row r="656" spans="9:143">
      <c r="I656" s="34"/>
      <c r="J656" s="156" t="s">
        <v>2016</v>
      </c>
      <c r="K656" s="156" t="s">
        <v>2016</v>
      </c>
      <c r="L656" s="22">
        <v>18</v>
      </c>
      <c r="M656" s="22">
        <v>23</v>
      </c>
      <c r="N656" s="22">
        <v>40.5</v>
      </c>
      <c r="O656" s="22">
        <v>-30</v>
      </c>
      <c r="P656" s="22">
        <v>-21</v>
      </c>
      <c r="Q656" s="22">
        <v>-40</v>
      </c>
      <c r="R656" s="22" t="s">
        <v>2017</v>
      </c>
      <c r="S656" s="22" t="s">
        <v>2018</v>
      </c>
      <c r="AJ656" s="175"/>
      <c r="AK656" s="175"/>
      <c r="AL656" s="175"/>
      <c r="AM656" s="175"/>
      <c r="AN656" s="175"/>
      <c r="AO656" s="175"/>
      <c r="AP656" s="175"/>
      <c r="AS656" s="3"/>
      <c r="BD656" s="97"/>
      <c r="EL656" s="3"/>
      <c r="EM656" s="3"/>
    </row>
    <row r="657" spans="9:143">
      <c r="I657" s="34"/>
      <c r="J657" s="156" t="s">
        <v>2019</v>
      </c>
      <c r="K657" s="156" t="s">
        <v>2019</v>
      </c>
      <c r="L657" s="22">
        <v>18</v>
      </c>
      <c r="M657" s="22">
        <v>35</v>
      </c>
      <c r="N657" s="22">
        <v>45.6</v>
      </c>
      <c r="O657" s="22">
        <v>-32</v>
      </c>
      <c r="P657" s="22">
        <v>-59</v>
      </c>
      <c r="Q657" s="22">
        <v>-27</v>
      </c>
      <c r="R657" s="22" t="s">
        <v>2020</v>
      </c>
      <c r="S657" s="22" t="s">
        <v>2021</v>
      </c>
      <c r="AJ657" s="175"/>
      <c r="AK657" s="175"/>
      <c r="AL657" s="175"/>
      <c r="AM657" s="175"/>
      <c r="AN657" s="175"/>
      <c r="AO657" s="175"/>
      <c r="AP657" s="175"/>
      <c r="AS657" s="3"/>
      <c r="BD657" s="97"/>
      <c r="EL657" s="3"/>
      <c r="EM657" s="3"/>
    </row>
    <row r="658" spans="9:143">
      <c r="I658" s="34"/>
      <c r="J658" s="156" t="s">
        <v>2022</v>
      </c>
      <c r="K658" s="156" t="s">
        <v>2022</v>
      </c>
      <c r="L658" s="22">
        <v>18</v>
      </c>
      <c r="M658" s="22">
        <v>53</v>
      </c>
      <c r="N658" s="22">
        <v>4.3</v>
      </c>
      <c r="O658" s="22">
        <v>-8</v>
      </c>
      <c r="P658" s="22">
        <v>-42</v>
      </c>
      <c r="Q658" s="22">
        <v>-21</v>
      </c>
      <c r="R658" s="22" t="s">
        <v>2023</v>
      </c>
      <c r="S658" s="22" t="s">
        <v>2024</v>
      </c>
      <c r="AJ658" s="175"/>
      <c r="AK658" s="175"/>
      <c r="AL658" s="175"/>
      <c r="AM658" s="175"/>
      <c r="AN658" s="175"/>
      <c r="AO658" s="175"/>
      <c r="AP658" s="175"/>
      <c r="AS658" s="3"/>
      <c r="BD658" s="97"/>
      <c r="EL658" s="3"/>
      <c r="EM658" s="3"/>
    </row>
    <row r="659" spans="9:143">
      <c r="I659" s="34"/>
      <c r="J659" s="156" t="s">
        <v>2025</v>
      </c>
      <c r="K659" s="156" t="s">
        <v>2025</v>
      </c>
      <c r="L659" s="22">
        <v>19</v>
      </c>
      <c r="M659" s="22">
        <v>7</v>
      </c>
      <c r="N659" s="22">
        <v>49</v>
      </c>
      <c r="O659" s="22">
        <v>4</v>
      </c>
      <c r="P659" s="22">
        <v>16</v>
      </c>
      <c r="Q659" s="22">
        <v>0</v>
      </c>
      <c r="R659" s="22" t="s">
        <v>2026</v>
      </c>
      <c r="S659" s="22" t="s">
        <v>2027</v>
      </c>
      <c r="AJ659" s="175"/>
      <c r="AK659" s="175"/>
      <c r="AL659" s="175"/>
      <c r="AM659" s="175"/>
      <c r="AN659" s="175"/>
      <c r="AO659" s="175"/>
      <c r="AP659" s="175"/>
      <c r="AS659" s="3"/>
      <c r="BD659" s="97"/>
      <c r="EL659" s="3"/>
      <c r="EM659" s="3"/>
    </row>
    <row r="660" spans="9:143">
      <c r="I660" s="34"/>
      <c r="J660" s="156" t="s">
        <v>2028</v>
      </c>
      <c r="K660" s="156" t="s">
        <v>2028</v>
      </c>
      <c r="L660" s="22">
        <v>19</v>
      </c>
      <c r="M660" s="22">
        <v>11</v>
      </c>
      <c r="N660" s="22">
        <v>12</v>
      </c>
      <c r="O660" s="22">
        <v>1</v>
      </c>
      <c r="P660" s="22">
        <v>1</v>
      </c>
      <c r="Q660" s="22">
        <v>50</v>
      </c>
      <c r="R660" s="22" t="s">
        <v>2029</v>
      </c>
      <c r="S660" s="22"/>
      <c r="AJ660" s="175"/>
      <c r="AK660" s="175"/>
      <c r="AL660" s="175"/>
      <c r="AM660" s="175"/>
      <c r="AN660" s="175"/>
      <c r="AO660" s="175"/>
      <c r="AP660" s="175"/>
      <c r="AS660" s="3"/>
      <c r="BD660" s="97"/>
      <c r="EL660" s="3"/>
      <c r="EM660" s="3"/>
    </row>
    <row r="661" spans="9:143">
      <c r="I661" s="34"/>
      <c r="J661" s="156" t="s">
        <v>2030</v>
      </c>
      <c r="K661" s="156" t="s">
        <v>2030</v>
      </c>
      <c r="L661" s="22">
        <v>19</v>
      </c>
      <c r="M661" s="22">
        <v>20</v>
      </c>
      <c r="N661" s="22">
        <v>53</v>
      </c>
      <c r="O661" s="22">
        <v>37</v>
      </c>
      <c r="P661" s="22">
        <v>46</v>
      </c>
      <c r="Q661" s="22">
        <v>1</v>
      </c>
      <c r="R661" s="22" t="s">
        <v>2031</v>
      </c>
      <c r="S661" s="22" t="s">
        <v>2032</v>
      </c>
      <c r="AJ661" s="175"/>
      <c r="AK661" s="175"/>
      <c r="AL661" s="175"/>
      <c r="AM661" s="175"/>
      <c r="AN661" s="175"/>
      <c r="AO661" s="175"/>
      <c r="AP661" s="175"/>
      <c r="AS661" s="3"/>
      <c r="BD661" s="97"/>
      <c r="EL661" s="3"/>
      <c r="EM661" s="3"/>
    </row>
    <row r="662" spans="9:143">
      <c r="I662" s="34"/>
      <c r="J662" s="156" t="s">
        <v>2033</v>
      </c>
      <c r="K662" s="156" t="s">
        <v>2033</v>
      </c>
      <c r="L662" s="22">
        <v>19</v>
      </c>
      <c r="M662" s="22">
        <v>43</v>
      </c>
      <c r="N662" s="22">
        <v>58</v>
      </c>
      <c r="O662" s="22">
        <v>-14</v>
      </c>
      <c r="P662" s="22">
        <v>-9</v>
      </c>
      <c r="Q662" s="22">
        <v>-13</v>
      </c>
      <c r="R662" s="22" t="s">
        <v>2034</v>
      </c>
      <c r="S662" s="22" t="s">
        <v>2035</v>
      </c>
      <c r="AJ662" s="175"/>
      <c r="AK662" s="175"/>
      <c r="AL662" s="175"/>
      <c r="AM662" s="175"/>
      <c r="AN662" s="175"/>
      <c r="AO662" s="175"/>
      <c r="AP662" s="175"/>
      <c r="AS662" s="3"/>
      <c r="BD662" s="97"/>
      <c r="EL662" s="3"/>
      <c r="EM662" s="3"/>
    </row>
    <row r="663" spans="9:143">
      <c r="I663" s="34"/>
      <c r="J663" s="156" t="s">
        <v>2036</v>
      </c>
      <c r="K663" s="156" t="s">
        <v>2036</v>
      </c>
      <c r="L663" s="22">
        <v>19</v>
      </c>
      <c r="M663" s="22">
        <v>44</v>
      </c>
      <c r="N663" s="22">
        <v>56.2</v>
      </c>
      <c r="O663" s="22">
        <v>-14</v>
      </c>
      <c r="P663" s="22">
        <v>-47</v>
      </c>
      <c r="Q663" s="22">
        <v>-51</v>
      </c>
      <c r="R663" s="22" t="s">
        <v>2037</v>
      </c>
      <c r="S663" s="22" t="s">
        <v>2038</v>
      </c>
      <c r="AJ663" s="175"/>
      <c r="AK663" s="175"/>
      <c r="AL663" s="175"/>
      <c r="AM663" s="175"/>
      <c r="AN663" s="175"/>
      <c r="AO663" s="175"/>
      <c r="AP663" s="175"/>
      <c r="AS663" s="3"/>
      <c r="BD663" s="97"/>
      <c r="EL663" s="3"/>
      <c r="EM663" s="3"/>
    </row>
    <row r="664" spans="9:143">
      <c r="I664" s="34"/>
      <c r="J664" s="156" t="s">
        <v>2039</v>
      </c>
      <c r="K664" s="156" t="s">
        <v>2039</v>
      </c>
      <c r="L664" s="22">
        <v>19</v>
      </c>
      <c r="M664" s="22">
        <v>44</v>
      </c>
      <c r="N664" s="22">
        <v>48.1</v>
      </c>
      <c r="O664" s="22">
        <v>50</v>
      </c>
      <c r="P664" s="22">
        <v>31</v>
      </c>
      <c r="Q664" s="22">
        <v>30</v>
      </c>
      <c r="R664" s="22" t="s">
        <v>2040</v>
      </c>
      <c r="S664" s="128" t="s">
        <v>2041</v>
      </c>
      <c r="AJ664" s="175"/>
      <c r="AK664" s="175"/>
      <c r="AL664" s="175"/>
      <c r="AM664" s="175"/>
      <c r="AN664" s="175"/>
      <c r="AO664" s="175"/>
      <c r="AP664" s="175"/>
      <c r="AS664" s="3"/>
      <c r="BD664" s="97"/>
      <c r="EL664" s="3"/>
      <c r="EM664" s="3"/>
    </row>
    <row r="665" spans="9:143">
      <c r="I665" s="34"/>
      <c r="J665" s="156" t="s">
        <v>2042</v>
      </c>
      <c r="K665" s="156" t="s">
        <v>2042</v>
      </c>
      <c r="L665" s="22">
        <v>20</v>
      </c>
      <c r="M665" s="22">
        <v>10</v>
      </c>
      <c r="N665" s="22">
        <v>23.7</v>
      </c>
      <c r="O665" s="22">
        <v>46</v>
      </c>
      <c r="P665" s="22">
        <v>27</v>
      </c>
      <c r="Q665" s="22">
        <v>40</v>
      </c>
      <c r="R665" s="22" t="s">
        <v>2043</v>
      </c>
      <c r="S665" s="22" t="s">
        <v>2044</v>
      </c>
      <c r="AJ665" s="175"/>
      <c r="AK665" s="175"/>
      <c r="AL665" s="175"/>
      <c r="AM665" s="175"/>
      <c r="AN665" s="175"/>
      <c r="AO665" s="175"/>
      <c r="AP665" s="175"/>
      <c r="AS665" s="3"/>
      <c r="BD665" s="97"/>
      <c r="EL665" s="3"/>
      <c r="EM665" s="3"/>
    </row>
    <row r="666" spans="9:143">
      <c r="I666" s="34"/>
      <c r="J666" s="156" t="s">
        <v>2045</v>
      </c>
      <c r="K666" s="156" t="s">
        <v>2045</v>
      </c>
      <c r="L666" s="22">
        <v>20</v>
      </c>
      <c r="M666" s="22">
        <v>12</v>
      </c>
      <c r="N666" s="22">
        <v>1</v>
      </c>
      <c r="O666" s="22">
        <v>26</v>
      </c>
      <c r="P666" s="22">
        <v>28</v>
      </c>
      <c r="Q666" s="22">
        <v>4</v>
      </c>
      <c r="R666" s="22" t="s">
        <v>2046</v>
      </c>
      <c r="S666" s="22" t="s">
        <v>2047</v>
      </c>
      <c r="AJ666" s="175"/>
      <c r="AK666" s="175"/>
      <c r="AL666" s="175"/>
      <c r="AM666" s="175"/>
      <c r="AN666" s="175"/>
      <c r="AO666" s="175"/>
      <c r="AP666" s="175"/>
      <c r="AS666" s="3"/>
      <c r="BD666" s="97"/>
      <c r="EL666" s="3"/>
      <c r="EM666" s="3"/>
    </row>
    <row r="667" spans="9:143">
      <c r="I667" s="34"/>
      <c r="J667" s="156" t="s">
        <v>2048</v>
      </c>
      <c r="K667" s="156" t="s">
        <v>2048</v>
      </c>
      <c r="L667" s="22">
        <v>20</v>
      </c>
      <c r="M667" s="22">
        <v>12</v>
      </c>
      <c r="N667" s="22">
        <v>42.8</v>
      </c>
      <c r="O667" s="22">
        <v>19</v>
      </c>
      <c r="P667" s="22">
        <v>59</v>
      </c>
      <c r="Q667" s="22">
        <v>22</v>
      </c>
      <c r="R667" s="22" t="s">
        <v>2049</v>
      </c>
      <c r="S667" s="128" t="s">
        <v>2050</v>
      </c>
      <c r="AJ667" s="175"/>
      <c r="AK667" s="175"/>
      <c r="AL667" s="175"/>
      <c r="AM667" s="175"/>
      <c r="AN667" s="175"/>
      <c r="AO667" s="175"/>
      <c r="AP667" s="175"/>
      <c r="AS667" s="3"/>
      <c r="BD667" s="97"/>
      <c r="EL667" s="3"/>
      <c r="EM667" s="3"/>
    </row>
    <row r="668" spans="9:143">
      <c r="I668" s="34"/>
      <c r="J668" s="156" t="s">
        <v>2051</v>
      </c>
      <c r="K668" s="156" t="s">
        <v>2051</v>
      </c>
      <c r="L668" s="22">
        <v>20</v>
      </c>
      <c r="M668" s="22">
        <v>15</v>
      </c>
      <c r="N668" s="22">
        <v>8.8000000000000007</v>
      </c>
      <c r="O668" s="22">
        <v>12</v>
      </c>
      <c r="P668" s="22">
        <v>42</v>
      </c>
      <c r="Q668" s="22">
        <v>16</v>
      </c>
      <c r="R668" s="22" t="s">
        <v>2052</v>
      </c>
      <c r="S668" s="128" t="s">
        <v>2050</v>
      </c>
      <c r="AJ668" s="175"/>
      <c r="AK668" s="175"/>
      <c r="AL668" s="175"/>
      <c r="AM668" s="175"/>
      <c r="AN668" s="175"/>
      <c r="AO668" s="175"/>
      <c r="AP668" s="175"/>
      <c r="AS668" s="3"/>
      <c r="BD668" s="97"/>
      <c r="EL668" s="3"/>
      <c r="EM668" s="3"/>
    </row>
    <row r="669" spans="9:143">
      <c r="I669" s="34"/>
      <c r="J669" s="156" t="s">
        <v>2053</v>
      </c>
      <c r="K669" s="156" t="s">
        <v>2053</v>
      </c>
      <c r="L669" s="22">
        <v>20</v>
      </c>
      <c r="M669" s="22">
        <v>22</v>
      </c>
      <c r="N669" s="22">
        <v>23</v>
      </c>
      <c r="O669" s="22">
        <v>20</v>
      </c>
      <c r="P669" s="22">
        <v>6</v>
      </c>
      <c r="Q669" s="22">
        <v>16</v>
      </c>
      <c r="R669" s="22" t="s">
        <v>2054</v>
      </c>
      <c r="S669" s="128" t="s">
        <v>2055</v>
      </c>
      <c r="AJ669" s="175"/>
      <c r="AK669" s="175"/>
      <c r="AL669" s="175"/>
      <c r="AM669" s="175"/>
      <c r="AN669" s="175"/>
      <c r="AO669" s="175"/>
      <c r="AP669" s="175"/>
      <c r="AS669" s="3"/>
      <c r="BD669" s="97"/>
      <c r="EL669" s="3"/>
      <c r="EM669" s="3"/>
    </row>
    <row r="670" spans="9:143">
      <c r="I670" s="34"/>
      <c r="J670" s="156" t="s">
        <v>2056</v>
      </c>
      <c r="K670" s="156" t="s">
        <v>2056</v>
      </c>
      <c r="L670" s="22">
        <v>20</v>
      </c>
      <c r="M670" s="22">
        <v>31</v>
      </c>
      <c r="N670" s="22">
        <v>30</v>
      </c>
      <c r="O670" s="22">
        <v>60</v>
      </c>
      <c r="P670" s="22">
        <v>36</v>
      </c>
      <c r="Q670" s="22">
        <v>4</v>
      </c>
      <c r="R670" s="22" t="s">
        <v>2057</v>
      </c>
      <c r="S670" s="22" t="s">
        <v>2058</v>
      </c>
      <c r="AJ670" s="175"/>
      <c r="AK670" s="175"/>
      <c r="AL670" s="175"/>
      <c r="AM670" s="175"/>
      <c r="AN670" s="175"/>
      <c r="AO670" s="175"/>
      <c r="AP670" s="175"/>
      <c r="AS670" s="3"/>
      <c r="BD670" s="97"/>
      <c r="EL670" s="3"/>
      <c r="EM670" s="3"/>
    </row>
    <row r="671" spans="9:143">
      <c r="I671" s="34"/>
      <c r="J671" s="156" t="s">
        <v>2059</v>
      </c>
      <c r="K671" s="156" t="s">
        <v>2059</v>
      </c>
      <c r="L671" s="22">
        <v>20</v>
      </c>
      <c r="M671" s="22">
        <v>34</v>
      </c>
      <c r="N671" s="22">
        <v>52.3</v>
      </c>
      <c r="O671" s="22">
        <v>60</v>
      </c>
      <c r="P671" s="22">
        <v>9</v>
      </c>
      <c r="Q671" s="22">
        <v>13</v>
      </c>
      <c r="R671" s="22" t="s">
        <v>2060</v>
      </c>
      <c r="S671" s="22" t="s">
        <v>2061</v>
      </c>
      <c r="AI671" s="5"/>
      <c r="AJ671" s="3"/>
      <c r="AK671" s="3"/>
      <c r="AL671" s="3"/>
      <c r="AM671" s="3"/>
      <c r="AN671" s="3"/>
      <c r="AO671" s="3"/>
      <c r="AP671" s="3"/>
      <c r="AQ671" s="3"/>
      <c r="AR671" s="3"/>
      <c r="AS671" s="3"/>
      <c r="BD671" s="97"/>
      <c r="EL671" s="3"/>
      <c r="EM671" s="3"/>
    </row>
    <row r="672" spans="9:143">
      <c r="I672" s="34"/>
      <c r="J672" s="156" t="s">
        <v>2062</v>
      </c>
      <c r="K672" s="156" t="s">
        <v>2062</v>
      </c>
      <c r="L672" s="22">
        <v>21</v>
      </c>
      <c r="M672" s="22">
        <v>0</v>
      </c>
      <c r="N672" s="22">
        <v>32.700000000000003</v>
      </c>
      <c r="O672" s="22">
        <v>54</v>
      </c>
      <c r="P672" s="22">
        <v>32</v>
      </c>
      <c r="Q672" s="22">
        <v>39</v>
      </c>
      <c r="R672" s="22" t="s">
        <v>2063</v>
      </c>
      <c r="S672" s="22" t="s">
        <v>1557</v>
      </c>
      <c r="AJ672" s="175"/>
      <c r="AK672" s="175"/>
      <c r="AL672" s="175"/>
      <c r="AM672" s="175"/>
      <c r="AN672" s="175"/>
      <c r="AO672" s="175"/>
      <c r="AP672" s="175"/>
      <c r="AS672" s="3"/>
      <c r="BD672" s="97"/>
      <c r="EL672" s="3"/>
      <c r="EM672" s="3"/>
    </row>
    <row r="673" spans="9:143">
      <c r="I673" s="34"/>
      <c r="J673" s="156" t="s">
        <v>2064</v>
      </c>
      <c r="K673" s="156" t="s">
        <v>2064</v>
      </c>
      <c r="L673" s="22">
        <v>21</v>
      </c>
      <c r="M673" s="22">
        <v>4</v>
      </c>
      <c r="N673" s="22">
        <v>10.9</v>
      </c>
      <c r="O673" s="22">
        <v>-11</v>
      </c>
      <c r="P673" s="22">
        <v>-21</v>
      </c>
      <c r="Q673" s="22">
        <v>-48</v>
      </c>
      <c r="R673" s="22" t="s">
        <v>2065</v>
      </c>
      <c r="S673" s="128" t="s">
        <v>2066</v>
      </c>
      <c r="AJ673" s="175"/>
      <c r="AK673" s="175"/>
      <c r="AL673" s="175"/>
      <c r="AM673" s="175"/>
      <c r="AN673" s="175"/>
      <c r="AO673" s="175"/>
      <c r="AP673" s="175"/>
      <c r="AS673" s="3"/>
      <c r="BD673" s="97"/>
      <c r="EL673" s="3"/>
      <c r="EM673" s="3"/>
    </row>
    <row r="674" spans="9:143">
      <c r="I674" s="34"/>
      <c r="J674" s="156" t="s">
        <v>2067</v>
      </c>
      <c r="K674" s="156" t="s">
        <v>2067</v>
      </c>
      <c r="L674" s="22">
        <v>21</v>
      </c>
      <c r="M674" s="22">
        <v>6</v>
      </c>
      <c r="N674" s="22">
        <v>18.2</v>
      </c>
      <c r="O674" s="22">
        <v>47</v>
      </c>
      <c r="P674" s="22">
        <v>51</v>
      </c>
      <c r="Q674" s="22">
        <v>7</v>
      </c>
      <c r="R674" s="22" t="s">
        <v>2068</v>
      </c>
      <c r="S674" s="22" t="s">
        <v>2069</v>
      </c>
      <c r="AJ674" s="175"/>
      <c r="AK674" s="175"/>
      <c r="AL674" s="175"/>
      <c r="AM674" s="175"/>
      <c r="AN674" s="175"/>
      <c r="AO674" s="175"/>
      <c r="AP674" s="175"/>
      <c r="AS674" s="3"/>
      <c r="BD674" s="97"/>
      <c r="EL674" s="3"/>
      <c r="EM674" s="3"/>
    </row>
    <row r="675" spans="9:143">
      <c r="I675" s="34"/>
      <c r="J675" s="156" t="s">
        <v>2070</v>
      </c>
      <c r="K675" s="156" t="s">
        <v>2070</v>
      </c>
      <c r="L675" s="22">
        <v>21</v>
      </c>
      <c r="M675" s="22">
        <v>7</v>
      </c>
      <c r="N675" s="22">
        <v>1.8</v>
      </c>
      <c r="O675" s="22">
        <v>42</v>
      </c>
      <c r="P675" s="22">
        <v>14</v>
      </c>
      <c r="Q675" s="22">
        <v>10</v>
      </c>
      <c r="R675" s="22" t="s">
        <v>2071</v>
      </c>
      <c r="S675" s="128" t="s">
        <v>2072</v>
      </c>
      <c r="AJ675" s="175"/>
      <c r="AK675" s="175"/>
      <c r="AL675" s="175"/>
      <c r="AM675" s="175"/>
      <c r="AN675" s="175"/>
      <c r="AO675" s="175"/>
      <c r="AP675" s="175"/>
      <c r="AS675" s="3"/>
      <c r="BD675" s="97"/>
      <c r="EL675" s="3"/>
      <c r="EM675" s="3"/>
    </row>
    <row r="676" spans="9:143">
      <c r="I676" s="34"/>
      <c r="J676" s="156" t="s">
        <v>2073</v>
      </c>
      <c r="K676" s="156" t="s">
        <v>2073</v>
      </c>
      <c r="L676" s="22">
        <v>22</v>
      </c>
      <c r="M676" s="22">
        <v>7</v>
      </c>
      <c r="N676" s="22">
        <v>52.4</v>
      </c>
      <c r="O676" s="22">
        <v>31</v>
      </c>
      <c r="P676" s="22">
        <v>21</v>
      </c>
      <c r="Q676" s="22">
        <v>33</v>
      </c>
      <c r="R676" s="22" t="s">
        <v>2074</v>
      </c>
      <c r="S676" s="22" t="s">
        <v>2075</v>
      </c>
      <c r="AJ676" s="175"/>
      <c r="AK676" s="175"/>
      <c r="AL676" s="175"/>
      <c r="AM676" s="175"/>
      <c r="AN676" s="175"/>
      <c r="AO676" s="175"/>
      <c r="AP676" s="175"/>
      <c r="AS676" s="3"/>
      <c r="BD676" s="97"/>
      <c r="EL676" s="3"/>
      <c r="EM676" s="3"/>
    </row>
    <row r="677" spans="9:143">
      <c r="I677" s="34"/>
      <c r="J677" s="156" t="s">
        <v>2076</v>
      </c>
      <c r="K677" s="156" t="s">
        <v>2076</v>
      </c>
      <c r="L677" s="22">
        <v>22</v>
      </c>
      <c r="M677" s="22">
        <v>20</v>
      </c>
      <c r="N677" s="22">
        <v>44.8</v>
      </c>
      <c r="O677" s="22">
        <v>-24</v>
      </c>
      <c r="P677" s="22">
        <v>-40</v>
      </c>
      <c r="Q677" s="22">
        <v>-42</v>
      </c>
      <c r="R677" s="22" t="s">
        <v>2077</v>
      </c>
      <c r="S677" s="128" t="s">
        <v>2078</v>
      </c>
      <c r="AJ677" s="175"/>
      <c r="AK677" s="175"/>
      <c r="AL677" s="175"/>
      <c r="AM677" s="175"/>
      <c r="AN677" s="175"/>
      <c r="AO677" s="175"/>
      <c r="AP677" s="175"/>
      <c r="AS677" s="3"/>
      <c r="BD677" s="97"/>
      <c r="EL677" s="3"/>
      <c r="EM677" s="3"/>
    </row>
    <row r="678" spans="9:143">
      <c r="I678" s="34"/>
      <c r="J678" s="156" t="s">
        <v>2079</v>
      </c>
      <c r="K678" s="156" t="s">
        <v>2079</v>
      </c>
      <c r="L678" s="22">
        <v>22</v>
      </c>
      <c r="M678" s="22">
        <v>29</v>
      </c>
      <c r="N678" s="22">
        <v>38.5</v>
      </c>
      <c r="O678" s="22">
        <v>-20</v>
      </c>
      <c r="P678" s="22">
        <v>-50</v>
      </c>
      <c r="Q678" s="22">
        <v>-14</v>
      </c>
      <c r="R678" s="22" t="s">
        <v>2080</v>
      </c>
      <c r="S678" s="128" t="s">
        <v>2081</v>
      </c>
      <c r="AJ678" s="175"/>
      <c r="AK678" s="175"/>
      <c r="AL678" s="175"/>
      <c r="AM678" s="175"/>
      <c r="AN678" s="175"/>
      <c r="AO678" s="175"/>
      <c r="AP678" s="175"/>
      <c r="AS678" s="3"/>
      <c r="BD678" s="97"/>
      <c r="EL678" s="3"/>
      <c r="EM678" s="3"/>
    </row>
    <row r="679" spans="9:143">
      <c r="I679" s="34"/>
      <c r="J679" s="156" t="s">
        <v>2082</v>
      </c>
      <c r="K679" s="156" t="s">
        <v>2082</v>
      </c>
      <c r="L679" s="22">
        <v>22</v>
      </c>
      <c r="M679" s="22">
        <v>35</v>
      </c>
      <c r="N679" s="22">
        <v>46.2</v>
      </c>
      <c r="O679" s="22">
        <v>-26</v>
      </c>
      <c r="P679" s="22">
        <v>-3</v>
      </c>
      <c r="Q679" s="22">
        <v>-1</v>
      </c>
      <c r="R679" s="22" t="s">
        <v>2083</v>
      </c>
      <c r="S679" s="22" t="s">
        <v>2084</v>
      </c>
      <c r="AJ679" s="175"/>
      <c r="AK679" s="175"/>
      <c r="AL679" s="175"/>
      <c r="AM679" s="175"/>
      <c r="AN679" s="175"/>
      <c r="AO679" s="175"/>
      <c r="AP679" s="175"/>
      <c r="AS679" s="3"/>
      <c r="BD679" s="97"/>
      <c r="EL679" s="3"/>
      <c r="EM679" s="3"/>
    </row>
    <row r="680" spans="9:143">
      <c r="I680" s="34"/>
      <c r="J680" s="156" t="s">
        <v>2085</v>
      </c>
      <c r="K680" s="156" t="s">
        <v>2085</v>
      </c>
      <c r="L680" s="22">
        <v>22</v>
      </c>
      <c r="M680" s="22">
        <v>37</v>
      </c>
      <c r="N680" s="22">
        <v>4.0999999999999996</v>
      </c>
      <c r="O680" s="22">
        <v>34</v>
      </c>
      <c r="P680" s="22">
        <v>24</v>
      </c>
      <c r="Q680" s="22">
        <v>57</v>
      </c>
      <c r="R680" s="22" t="s">
        <v>2086</v>
      </c>
      <c r="S680" s="22" t="s">
        <v>2087</v>
      </c>
      <c r="AJ680" s="175"/>
      <c r="AK680" s="175"/>
      <c r="AL680" s="175"/>
      <c r="AM680" s="175"/>
      <c r="AN680" s="175"/>
      <c r="AO680" s="175"/>
      <c r="AP680" s="175"/>
      <c r="AS680" s="3"/>
      <c r="BD680" s="97"/>
      <c r="EL680" s="3"/>
      <c r="EM680" s="3"/>
    </row>
    <row r="681" spans="9:143">
      <c r="I681" s="34"/>
      <c r="J681" s="156" t="s">
        <v>2088</v>
      </c>
      <c r="K681" s="156" t="s">
        <v>2088</v>
      </c>
      <c r="L681" s="22">
        <v>22</v>
      </c>
      <c r="M681" s="22">
        <v>37</v>
      </c>
      <c r="N681" s="22">
        <v>24.5</v>
      </c>
      <c r="O681" s="22">
        <v>23</v>
      </c>
      <c r="P681" s="22">
        <v>47</v>
      </c>
      <c r="Q681" s="22">
        <v>54</v>
      </c>
      <c r="R681" s="22" t="s">
        <v>2089</v>
      </c>
      <c r="S681" s="22" t="s">
        <v>2090</v>
      </c>
      <c r="AJ681" s="175"/>
      <c r="AK681" s="175"/>
      <c r="AL681" s="175"/>
      <c r="AM681" s="175"/>
      <c r="AN681" s="175"/>
      <c r="AO681" s="175"/>
      <c r="AP681" s="175"/>
      <c r="AS681" s="3"/>
      <c r="BD681" s="97"/>
      <c r="EL681" s="3"/>
      <c r="EM681" s="3"/>
    </row>
    <row r="682" spans="9:143">
      <c r="I682" s="34"/>
      <c r="J682" s="156" t="s">
        <v>2091</v>
      </c>
      <c r="K682" s="156" t="s">
        <v>2091</v>
      </c>
      <c r="L682" s="22">
        <v>22</v>
      </c>
      <c r="M682" s="22">
        <v>47</v>
      </c>
      <c r="N682" s="22">
        <v>47.5</v>
      </c>
      <c r="O682" s="22">
        <v>-22</v>
      </c>
      <c r="P682" s="22">
        <v>-18</v>
      </c>
      <c r="Q682" s="22">
        <v>-43</v>
      </c>
      <c r="R682" s="22" t="s">
        <v>2092</v>
      </c>
      <c r="S682" s="22" t="s">
        <v>2093</v>
      </c>
      <c r="AJ682" s="175"/>
      <c r="AK682" s="175"/>
      <c r="AL682" s="175"/>
      <c r="AM682" s="175"/>
      <c r="AN682" s="175"/>
      <c r="AO682" s="175"/>
      <c r="AP682" s="175"/>
      <c r="AS682" s="3"/>
      <c r="BD682" s="97"/>
      <c r="EL682" s="3"/>
      <c r="EM682" s="3"/>
    </row>
    <row r="683" spans="9:143">
      <c r="I683" s="34"/>
      <c r="J683" s="156" t="s">
        <v>2094</v>
      </c>
      <c r="K683" s="156" t="s">
        <v>2094</v>
      </c>
      <c r="L683" s="22">
        <v>23</v>
      </c>
      <c r="M683" s="22">
        <v>0</v>
      </c>
      <c r="N683" s="22">
        <v>3.6</v>
      </c>
      <c r="O683" s="22">
        <v>15</v>
      </c>
      <c r="P683" s="22">
        <v>58</v>
      </c>
      <c r="Q683" s="22">
        <v>48</v>
      </c>
      <c r="R683" s="22" t="s">
        <v>2095</v>
      </c>
      <c r="S683" s="22" t="s">
        <v>1557</v>
      </c>
      <c r="V683" s="5"/>
      <c r="W683" s="5"/>
      <c r="X683" s="283" t="s">
        <v>3101</v>
      </c>
      <c r="Y683" s="5"/>
      <c r="Z683" s="342"/>
      <c r="AA683" s="5"/>
      <c r="AB683" s="5"/>
      <c r="AC683" s="5"/>
      <c r="AD683" s="5"/>
      <c r="AE683" s="5"/>
      <c r="AF683" s="5"/>
      <c r="AG683" s="5"/>
      <c r="AJ683" s="175"/>
      <c r="AK683" s="175"/>
      <c r="AL683" s="175"/>
      <c r="AM683" s="175"/>
      <c r="AN683" s="175"/>
      <c r="AO683" s="175"/>
      <c r="AP683" s="175"/>
      <c r="AS683" s="3"/>
      <c r="BD683" s="97"/>
      <c r="EL683" s="3"/>
      <c r="EM683" s="3"/>
    </row>
    <row r="684" spans="9:143">
      <c r="I684" s="34"/>
      <c r="J684" s="156" t="s">
        <v>2096</v>
      </c>
      <c r="K684" s="156" t="s">
        <v>2096</v>
      </c>
      <c r="L684" s="22">
        <v>23</v>
      </c>
      <c r="M684" s="22">
        <v>1</v>
      </c>
      <c r="N684" s="22">
        <v>6.5</v>
      </c>
      <c r="O684" s="22">
        <v>16</v>
      </c>
      <c r="P684" s="22">
        <v>23</v>
      </c>
      <c r="Q684" s="22">
        <v>18</v>
      </c>
      <c r="R684" s="22" t="s">
        <v>2097</v>
      </c>
      <c r="S684" s="22" t="s">
        <v>2098</v>
      </c>
      <c r="AJ684" s="175"/>
      <c r="AK684" s="175"/>
      <c r="AL684" s="175"/>
      <c r="AM684" s="175"/>
      <c r="AN684" s="175"/>
      <c r="AO684" s="175"/>
      <c r="AP684" s="175"/>
      <c r="AS684" s="3"/>
      <c r="BD684" s="97"/>
      <c r="EL684" s="3"/>
      <c r="EM684" s="3"/>
    </row>
    <row r="685" spans="9:143">
      <c r="I685" s="34"/>
      <c r="J685" s="156" t="s">
        <v>2099</v>
      </c>
      <c r="K685" s="156" t="s">
        <v>2099</v>
      </c>
      <c r="L685" s="22">
        <v>23</v>
      </c>
      <c r="M685" s="22">
        <v>0</v>
      </c>
      <c r="N685" s="22">
        <v>59.9</v>
      </c>
      <c r="O685" s="22">
        <v>30</v>
      </c>
      <c r="P685" s="22">
        <v>8</v>
      </c>
      <c r="Q685" s="22">
        <v>42</v>
      </c>
      <c r="R685" s="22" t="s">
        <v>2100</v>
      </c>
      <c r="S685" s="22" t="s">
        <v>2101</v>
      </c>
      <c r="AJ685" s="175"/>
      <c r="AK685" s="175"/>
      <c r="AL685" s="175"/>
      <c r="AM685" s="175"/>
      <c r="AN685" s="175"/>
      <c r="AO685" s="175"/>
      <c r="AP685" s="175"/>
      <c r="AS685" s="3"/>
      <c r="BD685" s="97"/>
      <c r="EL685" s="3"/>
      <c r="EM685" s="3"/>
    </row>
    <row r="686" spans="9:143">
      <c r="I686" s="34"/>
      <c r="J686" s="156" t="s">
        <v>2102</v>
      </c>
      <c r="K686" s="156" t="s">
        <v>2102</v>
      </c>
      <c r="L686" s="22">
        <v>23</v>
      </c>
      <c r="M686" s="22">
        <v>4</v>
      </c>
      <c r="N686" s="22">
        <v>56.7</v>
      </c>
      <c r="O686" s="22">
        <v>12</v>
      </c>
      <c r="P686" s="22">
        <v>19</v>
      </c>
      <c r="Q686" s="22">
        <v>22</v>
      </c>
      <c r="R686" s="22" t="s">
        <v>2103</v>
      </c>
      <c r="S686" s="22" t="s">
        <v>2104</v>
      </c>
      <c r="AJ686" s="175"/>
      <c r="AK686" s="175"/>
      <c r="AL686" s="175"/>
      <c r="AM686" s="175"/>
      <c r="AN686" s="175"/>
      <c r="AO686" s="175"/>
      <c r="AP686" s="175"/>
      <c r="AS686" s="3"/>
      <c r="BD686" s="97"/>
      <c r="EL686" s="3"/>
      <c r="EM686" s="3"/>
    </row>
    <row r="687" spans="9:143">
      <c r="I687" s="34"/>
      <c r="J687" s="156" t="s">
        <v>2105</v>
      </c>
      <c r="K687" s="156" t="s">
        <v>2105</v>
      </c>
      <c r="L687" s="22">
        <v>23</v>
      </c>
      <c r="M687" s="22">
        <v>12</v>
      </c>
      <c r="N687" s="22">
        <v>7.6</v>
      </c>
      <c r="O687" s="22">
        <v>-28</v>
      </c>
      <c r="P687" s="22">
        <v>-32</v>
      </c>
      <c r="Q687" s="22">
        <v>-23</v>
      </c>
      <c r="R687" s="22" t="s">
        <v>2106</v>
      </c>
      <c r="S687" s="22" t="s">
        <v>2107</v>
      </c>
      <c r="AJ687" s="175"/>
      <c r="AK687" s="175"/>
      <c r="AL687" s="175"/>
      <c r="AM687" s="175"/>
      <c r="AN687" s="175"/>
      <c r="AO687" s="175"/>
      <c r="AP687" s="175"/>
      <c r="AS687" s="3"/>
      <c r="BD687" s="97"/>
      <c r="EL687" s="3"/>
      <c r="EM687" s="3"/>
    </row>
    <row r="688" spans="9:143">
      <c r="I688" s="34"/>
      <c r="J688" s="156" t="s">
        <v>2108</v>
      </c>
      <c r="K688" s="156" t="s">
        <v>2108</v>
      </c>
      <c r="L688" s="22">
        <v>23</v>
      </c>
      <c r="M688" s="22">
        <v>19</v>
      </c>
      <c r="N688" s="22">
        <v>4.8</v>
      </c>
      <c r="O688" s="22">
        <v>-8</v>
      </c>
      <c r="P688" s="22">
        <v>-29</v>
      </c>
      <c r="Q688" s="22">
        <v>-7</v>
      </c>
      <c r="R688" s="22" t="s">
        <v>2109</v>
      </c>
      <c r="S688" s="22" t="s">
        <v>2110</v>
      </c>
      <c r="AJ688" s="175"/>
      <c r="AK688" s="175"/>
      <c r="AL688" s="175"/>
      <c r="AM688" s="175"/>
      <c r="AN688" s="175"/>
      <c r="AO688" s="175"/>
      <c r="AP688" s="175"/>
      <c r="AS688" s="3"/>
      <c r="BD688" s="97"/>
      <c r="EL688" s="3"/>
      <c r="EM688" s="3"/>
    </row>
    <row r="689" spans="9:143">
      <c r="I689" s="34"/>
      <c r="J689" s="156" t="s">
        <v>2111</v>
      </c>
      <c r="K689" s="156" t="s">
        <v>2111</v>
      </c>
      <c r="L689" s="22">
        <v>23</v>
      </c>
      <c r="M689" s="22">
        <v>20</v>
      </c>
      <c r="N689" s="22">
        <v>14.5</v>
      </c>
      <c r="O689" s="22">
        <v>8</v>
      </c>
      <c r="P689" s="22">
        <v>12</v>
      </c>
      <c r="Q689" s="22">
        <v>23</v>
      </c>
      <c r="R689" s="22" t="s">
        <v>2112</v>
      </c>
      <c r="S689" s="22" t="s">
        <v>2113</v>
      </c>
      <c r="AJ689" s="175"/>
      <c r="AK689" s="175"/>
      <c r="AL689" s="175"/>
      <c r="AM689" s="175"/>
      <c r="AN689" s="175"/>
      <c r="AO689" s="175"/>
      <c r="AP689" s="175"/>
      <c r="AS689" s="3"/>
      <c r="BD689" s="97"/>
      <c r="EL689" s="3"/>
      <c r="EM689" s="3"/>
    </row>
    <row r="690" spans="9:143">
      <c r="I690" s="34"/>
      <c r="J690" s="156" t="s">
        <v>2114</v>
      </c>
      <c r="K690" s="156" t="s">
        <v>2114</v>
      </c>
      <c r="L690" s="22">
        <v>23</v>
      </c>
      <c r="M690" s="22">
        <v>20</v>
      </c>
      <c r="N690" s="22">
        <v>42.5</v>
      </c>
      <c r="O690" s="22">
        <v>8</v>
      </c>
      <c r="P690" s="22">
        <v>13</v>
      </c>
      <c r="Q690" s="22">
        <v>1</v>
      </c>
      <c r="R690" s="22" t="s">
        <v>2115</v>
      </c>
      <c r="S690" s="22" t="s">
        <v>2113</v>
      </c>
      <c r="AJ690" s="175"/>
      <c r="AK690" s="175"/>
      <c r="AL690" s="175"/>
      <c r="AM690" s="175"/>
      <c r="AN690" s="175"/>
      <c r="AO690" s="175"/>
      <c r="AP690" s="175"/>
      <c r="AS690" s="3"/>
      <c r="BD690" s="97"/>
      <c r="EL690" s="3"/>
      <c r="EM690" s="3"/>
    </row>
    <row r="691" spans="9:143">
      <c r="I691" s="34"/>
      <c r="J691" s="156" t="s">
        <v>2116</v>
      </c>
      <c r="K691" s="156" t="s">
        <v>2116</v>
      </c>
      <c r="L691" s="22">
        <v>23</v>
      </c>
      <c r="M691" s="22">
        <v>22</v>
      </c>
      <c r="N691" s="22">
        <v>6.6</v>
      </c>
      <c r="O691" s="22">
        <v>40</v>
      </c>
      <c r="P691" s="22">
        <v>50</v>
      </c>
      <c r="Q691" s="22">
        <v>43</v>
      </c>
      <c r="R691" s="22" t="s">
        <v>2117</v>
      </c>
      <c r="S691" s="22" t="s">
        <v>2118</v>
      </c>
      <c r="AJ691" s="175"/>
      <c r="AK691" s="175"/>
      <c r="AL691" s="175"/>
      <c r="AM691" s="175"/>
      <c r="AN691" s="175"/>
      <c r="AO691" s="175"/>
      <c r="AP691" s="175"/>
      <c r="AS691" s="3"/>
      <c r="BD691" s="97"/>
      <c r="EL691" s="3"/>
      <c r="EM691" s="3"/>
    </row>
    <row r="692" spans="9:143">
      <c r="I692" s="34"/>
      <c r="J692" s="156" t="s">
        <v>2119</v>
      </c>
      <c r="K692" s="156" t="s">
        <v>2119</v>
      </c>
      <c r="L692" s="22">
        <v>23</v>
      </c>
      <c r="M692" s="22">
        <v>25</v>
      </c>
      <c r="N692" s="22">
        <v>53.6</v>
      </c>
      <c r="O692" s="22">
        <v>42</v>
      </c>
      <c r="P692" s="22">
        <v>32</v>
      </c>
      <c r="Q692" s="22">
        <v>6</v>
      </c>
      <c r="R692" s="22" t="s">
        <v>2120</v>
      </c>
      <c r="S692" s="22" t="s">
        <v>2121</v>
      </c>
      <c r="AJ692" s="175"/>
      <c r="AK692" s="175"/>
      <c r="AL692" s="175"/>
      <c r="AM692" s="175"/>
      <c r="AN692" s="175"/>
      <c r="AO692" s="175"/>
      <c r="AP692" s="175"/>
      <c r="AS692" s="3"/>
      <c r="BD692" s="97"/>
      <c r="EL692" s="3"/>
      <c r="EM692" s="3"/>
    </row>
    <row r="693" spans="9:143">
      <c r="I693" s="34"/>
      <c r="J693" s="156" t="s">
        <v>2122</v>
      </c>
      <c r="K693" s="156" t="s">
        <v>2122</v>
      </c>
      <c r="L693" s="22">
        <v>23</v>
      </c>
      <c r="M693" s="22">
        <v>38</v>
      </c>
      <c r="N693" s="22">
        <v>57.1</v>
      </c>
      <c r="O693" s="22">
        <v>-12</v>
      </c>
      <c r="P693" s="22">
        <v>-57</v>
      </c>
      <c r="Q693" s="22">
        <v>-40</v>
      </c>
      <c r="R693" s="22" t="s">
        <v>2123</v>
      </c>
      <c r="S693" s="22" t="s">
        <v>2124</v>
      </c>
      <c r="AJ693" s="175"/>
      <c r="AK693" s="175"/>
      <c r="AL693" s="175"/>
      <c r="AM693" s="175"/>
      <c r="AN693" s="175"/>
      <c r="AO693" s="175"/>
      <c r="AP693" s="175"/>
      <c r="AS693" s="3"/>
      <c r="BD693" s="97"/>
      <c r="EL693" s="3"/>
      <c r="EM693" s="3"/>
    </row>
    <row r="694" spans="9:143">
      <c r="I694" s="34"/>
      <c r="J694" s="156" t="s">
        <v>2125</v>
      </c>
      <c r="K694" s="156" t="s">
        <v>2125</v>
      </c>
      <c r="L694" s="22">
        <v>23</v>
      </c>
      <c r="M694" s="22">
        <v>39</v>
      </c>
      <c r="N694" s="22">
        <v>53.9</v>
      </c>
      <c r="O694" s="22">
        <v>-12</v>
      </c>
      <c r="P694" s="22">
        <v>-17</v>
      </c>
      <c r="Q694" s="22">
        <v>-35</v>
      </c>
      <c r="R694" s="22" t="s">
        <v>2126</v>
      </c>
      <c r="S694" s="22" t="s">
        <v>2127</v>
      </c>
      <c r="AJ694" s="175"/>
      <c r="AK694" s="175"/>
      <c r="AL694" s="175"/>
      <c r="AM694" s="175"/>
      <c r="AN694" s="175"/>
      <c r="AO694" s="175"/>
      <c r="AP694" s="175"/>
      <c r="AS694" s="3"/>
      <c r="BD694" s="97"/>
      <c r="EL694" s="3"/>
      <c r="EM694" s="3"/>
    </row>
    <row r="695" spans="9:143">
      <c r="I695" s="34"/>
      <c r="J695" s="156" t="s">
        <v>2128</v>
      </c>
      <c r="K695" s="156" t="s">
        <v>2128</v>
      </c>
      <c r="L695" s="22">
        <v>23</v>
      </c>
      <c r="M695" s="22">
        <v>43</v>
      </c>
      <c r="N695" s="22">
        <v>54.4</v>
      </c>
      <c r="O695" s="22">
        <v>26</v>
      </c>
      <c r="P695" s="22">
        <v>4</v>
      </c>
      <c r="Q695" s="22">
        <v>33</v>
      </c>
      <c r="R695" s="22" t="s">
        <v>2129</v>
      </c>
      <c r="S695" s="22" t="s">
        <v>1557</v>
      </c>
      <c r="AJ695" s="175"/>
      <c r="AK695" s="175"/>
      <c r="AL695" s="175"/>
      <c r="AM695" s="175"/>
      <c r="AN695" s="175"/>
      <c r="AO695" s="175"/>
      <c r="AP695" s="175"/>
      <c r="AS695" s="3"/>
      <c r="BD695" s="97"/>
      <c r="EL695" s="3"/>
      <c r="EM695" s="3"/>
    </row>
    <row r="696" spans="9:143">
      <c r="I696" s="34"/>
      <c r="J696" s="156" t="s">
        <v>2130</v>
      </c>
      <c r="K696" s="156" t="s">
        <v>2130</v>
      </c>
      <c r="L696" s="22">
        <v>23</v>
      </c>
      <c r="M696" s="22">
        <v>51</v>
      </c>
      <c r="N696" s="22">
        <v>4</v>
      </c>
      <c r="O696" s="22">
        <v>20</v>
      </c>
      <c r="P696" s="22">
        <v>9</v>
      </c>
      <c r="Q696" s="22">
        <v>1</v>
      </c>
      <c r="R696" s="22" t="s">
        <v>2131</v>
      </c>
      <c r="S696" s="22" t="s">
        <v>2132</v>
      </c>
      <c r="AJ696" s="175"/>
      <c r="AK696" s="175"/>
      <c r="AL696" s="175"/>
      <c r="AM696" s="175"/>
      <c r="AN696" s="175"/>
      <c r="AO696" s="175"/>
      <c r="AP696" s="175"/>
      <c r="AS696" s="3"/>
      <c r="BD696" s="97"/>
      <c r="EL696" s="3"/>
      <c r="EM696" s="3"/>
    </row>
    <row r="697" spans="9:143">
      <c r="I697" s="34"/>
      <c r="J697" s="156" t="s">
        <v>2133</v>
      </c>
      <c r="K697" s="156" t="s">
        <v>2133</v>
      </c>
      <c r="L697" s="22">
        <v>23</v>
      </c>
      <c r="M697" s="22">
        <v>51</v>
      </c>
      <c r="N697" s="22">
        <v>24.9</v>
      </c>
      <c r="O697" s="22">
        <v>20</v>
      </c>
      <c r="P697" s="22">
        <v>6</v>
      </c>
      <c r="Q697" s="22">
        <v>43</v>
      </c>
      <c r="R697" s="22" t="s">
        <v>2134</v>
      </c>
      <c r="S697" s="22" t="s">
        <v>2135</v>
      </c>
      <c r="AJ697" s="175"/>
      <c r="AK697" s="175"/>
      <c r="AL697" s="175"/>
      <c r="AM697" s="175"/>
      <c r="AN697" s="175"/>
      <c r="AO697" s="175"/>
      <c r="AP697" s="175"/>
      <c r="AS697" s="3"/>
      <c r="BD697" s="97"/>
      <c r="EL697" s="3"/>
      <c r="EM697" s="3"/>
    </row>
    <row r="698" spans="9:143">
      <c r="I698" s="34"/>
      <c r="J698" s="156" t="s">
        <v>2136</v>
      </c>
      <c r="K698" s="156" t="s">
        <v>2136</v>
      </c>
      <c r="L698" s="22">
        <v>23</v>
      </c>
      <c r="M698" s="22">
        <v>55</v>
      </c>
      <c r="N698" s="22">
        <v>19</v>
      </c>
      <c r="O698" s="22">
        <v>5</v>
      </c>
      <c r="P698" s="22">
        <v>54</v>
      </c>
      <c r="Q698" s="22">
        <v>57</v>
      </c>
      <c r="R698" s="22" t="s">
        <v>2137</v>
      </c>
      <c r="S698" s="22" t="s">
        <v>2138</v>
      </c>
      <c r="AJ698" s="175"/>
      <c r="AK698" s="175"/>
      <c r="AL698" s="175"/>
      <c r="AM698" s="175"/>
      <c r="AN698" s="175"/>
      <c r="AO698" s="175"/>
      <c r="AP698" s="175"/>
      <c r="AS698" s="3"/>
      <c r="BD698" s="97"/>
      <c r="EL698" s="3"/>
      <c r="EM698" s="3"/>
    </row>
    <row r="699" spans="9:143">
      <c r="I699" s="34"/>
      <c r="J699" s="156" t="s">
        <v>2139</v>
      </c>
      <c r="K699" s="156" t="s">
        <v>2139</v>
      </c>
      <c r="L699" s="22">
        <v>23</v>
      </c>
      <c r="M699" s="22">
        <v>57</v>
      </c>
      <c r="N699" s="22">
        <v>49.8</v>
      </c>
      <c r="O699" s="22">
        <v>-32</v>
      </c>
      <c r="P699" s="22">
        <v>-35</v>
      </c>
      <c r="Q699" s="22">
        <v>-28</v>
      </c>
      <c r="R699" s="22" t="s">
        <v>2140</v>
      </c>
      <c r="S699" s="22" t="s">
        <v>1943</v>
      </c>
      <c r="AJ699" s="175"/>
      <c r="AK699" s="175"/>
      <c r="AL699" s="175"/>
      <c r="AM699" s="175"/>
      <c r="AN699" s="175"/>
      <c r="AO699" s="175"/>
      <c r="AP699" s="175"/>
      <c r="AS699" s="3"/>
      <c r="BD699" s="97"/>
      <c r="EL699" s="3"/>
      <c r="EM699" s="3"/>
    </row>
    <row r="700" spans="9:143">
      <c r="I700" s="34"/>
      <c r="J700" s="156" t="s">
        <v>2141</v>
      </c>
      <c r="K700" s="156" t="s">
        <v>2141</v>
      </c>
      <c r="L700" s="22">
        <v>0</v>
      </c>
      <c r="M700" s="22">
        <v>3</v>
      </c>
      <c r="N700" s="22">
        <v>14.9</v>
      </c>
      <c r="O700" s="22">
        <v>16</v>
      </c>
      <c r="P700" s="22">
        <v>8</v>
      </c>
      <c r="Q700" s="22">
        <v>43</v>
      </c>
      <c r="R700" s="22" t="s">
        <v>2142</v>
      </c>
      <c r="S700" s="399" t="s">
        <v>2143</v>
      </c>
      <c r="AJ700" s="175"/>
      <c r="AK700" s="175"/>
      <c r="AL700" s="175"/>
      <c r="AM700" s="175"/>
      <c r="AN700" s="175"/>
      <c r="AO700" s="175"/>
      <c r="AP700" s="175"/>
      <c r="AS700" s="3"/>
      <c r="BD700" s="97"/>
      <c r="EL700" s="3"/>
      <c r="EM700" s="3"/>
    </row>
    <row r="701" spans="9:143">
      <c r="I701" s="34"/>
      <c r="J701" s="156" t="s">
        <v>2144</v>
      </c>
      <c r="K701" s="156" t="s">
        <v>2144</v>
      </c>
      <c r="L701" s="22">
        <v>0</v>
      </c>
      <c r="M701" s="22">
        <v>3</v>
      </c>
      <c r="N701" s="22">
        <v>58.9</v>
      </c>
      <c r="O701" s="22">
        <v>20</v>
      </c>
      <c r="P701" s="22">
        <v>45</v>
      </c>
      <c r="Q701" s="22">
        <v>8</v>
      </c>
      <c r="R701" s="22" t="s">
        <v>2145</v>
      </c>
      <c r="S701" s="22" t="s">
        <v>1911</v>
      </c>
      <c r="AJ701" s="175"/>
      <c r="AK701" s="175"/>
      <c r="AL701" s="175"/>
      <c r="AM701" s="175"/>
      <c r="AN701" s="175"/>
      <c r="AO701" s="175"/>
      <c r="AP701" s="175"/>
      <c r="AS701" s="3"/>
      <c r="BD701" s="97"/>
      <c r="EL701" s="3"/>
      <c r="EM701" s="3"/>
    </row>
    <row r="702" spans="9:143">
      <c r="I702" s="24" t="s">
        <v>2146</v>
      </c>
      <c r="J702" s="157" t="s">
        <v>2147</v>
      </c>
      <c r="K702" s="157" t="s">
        <v>2147</v>
      </c>
      <c r="L702" s="24" t="s">
        <v>39</v>
      </c>
      <c r="M702" s="24" t="s">
        <v>2146</v>
      </c>
      <c r="N702" s="24" t="s">
        <v>2146</v>
      </c>
      <c r="O702" s="24" t="s">
        <v>40</v>
      </c>
      <c r="P702" s="24" t="s">
        <v>2148</v>
      </c>
      <c r="Q702" s="24" t="s">
        <v>2149</v>
      </c>
      <c r="R702" s="24" t="s">
        <v>2150</v>
      </c>
      <c r="S702" s="24" t="s">
        <v>2148</v>
      </c>
      <c r="AJ702" s="175"/>
      <c r="AK702" s="175"/>
      <c r="AL702" s="175"/>
      <c r="AM702" s="175"/>
      <c r="AN702" s="175"/>
      <c r="AO702" s="175"/>
      <c r="AP702" s="175"/>
      <c r="AS702" s="3"/>
      <c r="BD702" s="97"/>
      <c r="EL702" s="3"/>
      <c r="EM702" s="3"/>
    </row>
    <row r="703" spans="9:143">
      <c r="I703" s="22"/>
      <c r="J703" s="156" t="s">
        <v>2151</v>
      </c>
      <c r="K703" s="156" t="s">
        <v>2151</v>
      </c>
      <c r="L703" s="22">
        <v>15</v>
      </c>
      <c r="M703" s="22">
        <v>44</v>
      </c>
      <c r="N703" s="22">
        <v>16.100000000000001</v>
      </c>
      <c r="O703" s="22">
        <v>6</v>
      </c>
      <c r="P703" s="22">
        <v>25</v>
      </c>
      <c r="Q703" s="22">
        <v>32</v>
      </c>
      <c r="R703" s="22" t="s">
        <v>2152</v>
      </c>
      <c r="S703" s="23" t="s">
        <v>2153</v>
      </c>
      <c r="AJ703" s="175"/>
      <c r="AK703" s="175"/>
      <c r="AL703" s="175"/>
      <c r="AM703" s="175"/>
      <c r="AN703" s="175"/>
      <c r="AO703" s="175"/>
      <c r="AP703" s="175"/>
      <c r="AS703" s="3"/>
      <c r="BD703" s="97"/>
      <c r="EL703" s="3"/>
      <c r="EM703" s="3"/>
    </row>
    <row r="704" spans="9:143">
      <c r="I704" s="22"/>
      <c r="J704" s="156" t="s">
        <v>2154</v>
      </c>
      <c r="K704" s="156" t="s">
        <v>2154</v>
      </c>
      <c r="L704" s="22">
        <v>15</v>
      </c>
      <c r="M704" s="22">
        <v>46</v>
      </c>
      <c r="N704" s="22">
        <v>11.3</v>
      </c>
      <c r="O704" s="22">
        <v>15</v>
      </c>
      <c r="P704" s="22">
        <v>25</v>
      </c>
      <c r="Q704" s="22">
        <v>19</v>
      </c>
      <c r="R704" s="22" t="s">
        <v>2155</v>
      </c>
      <c r="S704" s="23" t="s">
        <v>2156</v>
      </c>
      <c r="AJ704" s="175"/>
      <c r="AK704" s="175"/>
      <c r="AL704" s="175"/>
      <c r="AM704" s="175"/>
      <c r="AN704" s="175"/>
      <c r="AO704" s="175"/>
      <c r="AP704" s="175"/>
      <c r="AS704" s="3"/>
      <c r="BD704" s="97"/>
      <c r="EL704" s="3"/>
      <c r="EM704" s="3"/>
    </row>
    <row r="705" spans="9:143">
      <c r="I705" s="22"/>
      <c r="J705" s="156" t="s">
        <v>2157</v>
      </c>
      <c r="K705" s="156" t="s">
        <v>2157</v>
      </c>
      <c r="L705" s="22">
        <v>15</v>
      </c>
      <c r="M705" s="22">
        <v>56</v>
      </c>
      <c r="N705" s="22">
        <v>27.2</v>
      </c>
      <c r="O705" s="22">
        <v>15</v>
      </c>
      <c r="P705" s="22">
        <v>39</v>
      </c>
      <c r="Q705" s="22">
        <v>42</v>
      </c>
      <c r="R705" s="22" t="s">
        <v>2158</v>
      </c>
      <c r="S705" s="23" t="s">
        <v>2159</v>
      </c>
      <c r="AJ705" s="175"/>
      <c r="AK705" s="175"/>
      <c r="AL705" s="175"/>
      <c r="AM705" s="175"/>
      <c r="AN705" s="175"/>
      <c r="AO705" s="175"/>
      <c r="AP705" s="175"/>
      <c r="AS705" s="3"/>
      <c r="BD705" s="97"/>
      <c r="EL705" s="3"/>
      <c r="EM705" s="3"/>
    </row>
    <row r="706" spans="9:143">
      <c r="I706" s="22"/>
      <c r="J706" s="156" t="s">
        <v>2160</v>
      </c>
      <c r="K706" s="156" t="s">
        <v>2160</v>
      </c>
      <c r="L706" s="22">
        <v>15</v>
      </c>
      <c r="M706" s="22">
        <v>34</v>
      </c>
      <c r="N706" s="22">
        <v>48.1</v>
      </c>
      <c r="O706" s="22">
        <v>10</v>
      </c>
      <c r="P706" s="22">
        <v>32</v>
      </c>
      <c r="Q706" s="22">
        <v>20</v>
      </c>
      <c r="R706" s="22" t="s">
        <v>2161</v>
      </c>
      <c r="S706" s="23" t="s">
        <v>2162</v>
      </c>
      <c r="AJ706" s="175"/>
      <c r="AK706" s="175"/>
      <c r="AL706" s="175"/>
      <c r="AM706" s="175"/>
      <c r="AN706" s="175"/>
      <c r="AO706" s="175"/>
      <c r="AP706" s="175"/>
      <c r="AS706" s="3"/>
      <c r="BD706" s="97"/>
      <c r="EL706" s="3"/>
      <c r="EM706" s="3"/>
    </row>
    <row r="707" spans="9:143">
      <c r="I707" s="22"/>
      <c r="J707" s="156" t="s">
        <v>2163</v>
      </c>
      <c r="K707" s="156" t="s">
        <v>2163</v>
      </c>
      <c r="L707" s="22">
        <v>15</v>
      </c>
      <c r="M707" s="22">
        <v>50</v>
      </c>
      <c r="N707" s="22">
        <v>49</v>
      </c>
      <c r="O707" s="22">
        <v>4</v>
      </c>
      <c r="P707" s="22">
        <v>28</v>
      </c>
      <c r="Q707" s="22">
        <v>40</v>
      </c>
      <c r="R707" s="22" t="s">
        <v>2164</v>
      </c>
      <c r="S707" s="23" t="s">
        <v>2165</v>
      </c>
      <c r="AJ707" s="175"/>
      <c r="AK707" s="175"/>
      <c r="AL707" s="175"/>
      <c r="AM707" s="175"/>
      <c r="AN707" s="175"/>
      <c r="AO707" s="175"/>
      <c r="AP707" s="175"/>
      <c r="AS707" s="3"/>
      <c r="BD707" s="97"/>
      <c r="EL707" s="3"/>
      <c r="EM707" s="3"/>
    </row>
    <row r="708" spans="9:143">
      <c r="I708" s="22"/>
      <c r="J708" s="156" t="s">
        <v>2166</v>
      </c>
      <c r="K708" s="156" t="s">
        <v>2166</v>
      </c>
      <c r="L708" s="22">
        <v>18</v>
      </c>
      <c r="M708" s="22">
        <v>21</v>
      </c>
      <c r="N708" s="22">
        <v>18.600000000000001</v>
      </c>
      <c r="O708" s="22">
        <v>-2</v>
      </c>
      <c r="P708" s="22">
        <v>-53</v>
      </c>
      <c r="Q708" s="22">
        <v>-56</v>
      </c>
      <c r="R708" s="22" t="s">
        <v>2167</v>
      </c>
      <c r="S708" s="23" t="s">
        <v>2168</v>
      </c>
      <c r="AJ708" s="175"/>
      <c r="AK708" s="175"/>
      <c r="AL708" s="175"/>
      <c r="AM708" s="175"/>
      <c r="AN708" s="175"/>
      <c r="AO708" s="175"/>
      <c r="AP708" s="175"/>
      <c r="AS708" s="3"/>
      <c r="BD708" s="97"/>
      <c r="EL708" s="3"/>
      <c r="EM708" s="3"/>
    </row>
    <row r="709" spans="9:143">
      <c r="I709" s="22"/>
      <c r="J709" s="156" t="s">
        <v>2169</v>
      </c>
      <c r="K709" s="156" t="s">
        <v>2169</v>
      </c>
      <c r="L709" s="22">
        <v>18</v>
      </c>
      <c r="M709" s="22">
        <v>56</v>
      </c>
      <c r="N709" s="22">
        <v>13.2</v>
      </c>
      <c r="O709" s="22">
        <v>4</v>
      </c>
      <c r="P709" s="22">
        <v>12</v>
      </c>
      <c r="Q709" s="22">
        <v>13</v>
      </c>
      <c r="R709" s="22" t="s">
        <v>2170</v>
      </c>
      <c r="S709" s="23" t="s">
        <v>2171</v>
      </c>
      <c r="AJ709" s="175"/>
      <c r="AK709" s="175"/>
      <c r="AL709" s="175"/>
      <c r="AM709" s="175"/>
      <c r="AN709" s="175"/>
      <c r="AO709" s="175"/>
      <c r="AP709" s="175"/>
      <c r="AS709" s="3"/>
      <c r="BD709" s="97"/>
      <c r="EL709" s="3"/>
      <c r="EM709" s="3"/>
    </row>
    <row r="710" spans="9:143">
      <c r="I710" s="22"/>
      <c r="J710" s="156" t="s">
        <v>2172</v>
      </c>
      <c r="K710" s="156" t="s">
        <v>2172</v>
      </c>
      <c r="L710" s="22">
        <v>15</v>
      </c>
      <c r="M710" s="22">
        <v>41</v>
      </c>
      <c r="N710" s="22">
        <v>33.1</v>
      </c>
      <c r="O710" s="22">
        <v>19</v>
      </c>
      <c r="P710" s="22">
        <v>40</v>
      </c>
      <c r="Q710" s="22">
        <v>13</v>
      </c>
      <c r="R710" s="22" t="s">
        <v>2173</v>
      </c>
      <c r="S710" s="23" t="s">
        <v>2174</v>
      </c>
      <c r="AJ710" s="175"/>
      <c r="AK710" s="175"/>
      <c r="AL710" s="175"/>
      <c r="AM710" s="175"/>
      <c r="AN710" s="175"/>
      <c r="AO710" s="175"/>
      <c r="AP710" s="175"/>
      <c r="AS710" s="3"/>
      <c r="BD710" s="97"/>
      <c r="EL710" s="3"/>
      <c r="EM710" s="3"/>
    </row>
    <row r="711" spans="9:143">
      <c r="I711" s="22"/>
      <c r="J711" s="156" t="s">
        <v>2175</v>
      </c>
      <c r="K711" s="156" t="s">
        <v>2175</v>
      </c>
      <c r="L711" s="22">
        <v>15</v>
      </c>
      <c r="M711" s="22">
        <v>48</v>
      </c>
      <c r="N711" s="22">
        <v>44.4</v>
      </c>
      <c r="O711" s="22">
        <v>18</v>
      </c>
      <c r="P711" s="22">
        <v>8</v>
      </c>
      <c r="Q711" s="22">
        <v>30</v>
      </c>
      <c r="R711" s="22" t="s">
        <v>2176</v>
      </c>
      <c r="S711" s="23" t="s">
        <v>2177</v>
      </c>
      <c r="AJ711" s="175"/>
      <c r="AK711" s="175"/>
      <c r="AL711" s="175"/>
      <c r="AM711" s="175"/>
      <c r="AN711" s="175"/>
      <c r="AO711" s="175"/>
      <c r="AP711" s="175"/>
      <c r="AS711" s="3"/>
      <c r="BD711" s="97"/>
      <c r="EL711" s="3"/>
      <c r="EM711" s="3"/>
    </row>
    <row r="712" spans="9:143">
      <c r="I712" s="22"/>
      <c r="J712" s="156" t="s">
        <v>2178</v>
      </c>
      <c r="K712" s="156" t="s">
        <v>2178</v>
      </c>
      <c r="L712" s="22">
        <v>15</v>
      </c>
      <c r="M712" s="22">
        <v>49</v>
      </c>
      <c r="N712" s="22">
        <v>37.200000000000003</v>
      </c>
      <c r="O712" s="22">
        <v>3</v>
      </c>
      <c r="P712" s="22">
        <v>25</v>
      </c>
      <c r="Q712" s="22">
        <v>49</v>
      </c>
      <c r="R712" s="22" t="s">
        <v>2179</v>
      </c>
      <c r="S712" s="23" t="s">
        <v>2180</v>
      </c>
      <c r="AI712" s="5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BD712" s="97"/>
      <c r="EL712" s="3"/>
      <c r="EM712" s="3"/>
    </row>
    <row r="713" spans="9:143">
      <c r="I713" s="22"/>
      <c r="J713" s="156" t="s">
        <v>2181</v>
      </c>
      <c r="K713" s="156" t="s">
        <v>2181</v>
      </c>
      <c r="L713" s="22">
        <v>17</v>
      </c>
      <c r="M713" s="22">
        <v>20</v>
      </c>
      <c r="N713" s="22">
        <v>49.7</v>
      </c>
      <c r="O713" s="22">
        <v>-12</v>
      </c>
      <c r="P713" s="22">
        <v>-50</v>
      </c>
      <c r="Q713" s="22">
        <v>-49</v>
      </c>
      <c r="R713" s="22" t="s">
        <v>2182</v>
      </c>
      <c r="S713" s="23" t="s">
        <v>2183</v>
      </c>
      <c r="AJ713" s="175"/>
      <c r="AK713" s="175"/>
      <c r="AL713" s="175"/>
      <c r="AM713" s="175"/>
      <c r="AN713" s="175"/>
      <c r="AO713" s="175"/>
      <c r="AP713" s="175"/>
      <c r="AS713" s="3"/>
      <c r="BD713" s="97"/>
      <c r="EL713" s="3"/>
      <c r="EM713" s="3"/>
    </row>
    <row r="714" spans="9:143">
      <c r="I714" s="22"/>
      <c r="J714" s="156" t="s">
        <v>2184</v>
      </c>
      <c r="K714" s="156" t="s">
        <v>2184</v>
      </c>
      <c r="L714" s="22">
        <v>17</v>
      </c>
      <c r="M714" s="22">
        <v>37</v>
      </c>
      <c r="N714" s="22">
        <v>35.200000000000003</v>
      </c>
      <c r="O714" s="22">
        <v>-15</v>
      </c>
      <c r="P714" s="22">
        <v>-23</v>
      </c>
      <c r="Q714" s="22">
        <v>-55</v>
      </c>
      <c r="R714" s="22" t="s">
        <v>2185</v>
      </c>
      <c r="S714" s="23" t="s">
        <v>2186</v>
      </c>
      <c r="AJ714" s="175"/>
      <c r="AK714" s="175"/>
      <c r="AL714" s="175"/>
      <c r="AM714" s="175"/>
      <c r="AN714" s="175"/>
      <c r="AO714" s="175"/>
      <c r="AP714" s="175"/>
      <c r="AS714" s="3"/>
      <c r="BD714" s="97"/>
      <c r="EL714" s="3"/>
      <c r="EM714" s="3"/>
    </row>
    <row r="715" spans="9:143">
      <c r="I715" s="22"/>
      <c r="J715" s="156" t="s">
        <v>2187</v>
      </c>
      <c r="K715" s="156" t="s">
        <v>2187</v>
      </c>
      <c r="L715" s="22">
        <v>15</v>
      </c>
      <c r="M715" s="22">
        <v>51</v>
      </c>
      <c r="N715" s="22">
        <v>15.9</v>
      </c>
      <c r="O715" s="22">
        <v>20</v>
      </c>
      <c r="P715" s="22">
        <v>58</v>
      </c>
      <c r="Q715" s="22">
        <v>41</v>
      </c>
      <c r="R715" s="22" t="s">
        <v>2188</v>
      </c>
      <c r="S715" s="23" t="s">
        <v>2189</v>
      </c>
      <c r="AJ715" s="175"/>
      <c r="AK715" s="175"/>
      <c r="AL715" s="175"/>
      <c r="AM715" s="175"/>
      <c r="AN715" s="175"/>
      <c r="AO715" s="175"/>
      <c r="AP715" s="175"/>
      <c r="AS715" s="3"/>
      <c r="BD715" s="97"/>
      <c r="EL715" s="3"/>
      <c r="EM715" s="3"/>
    </row>
    <row r="716" spans="9:143">
      <c r="I716" s="24" t="s">
        <v>2190</v>
      </c>
      <c r="J716" s="157" t="s">
        <v>2191</v>
      </c>
      <c r="K716" s="157" t="s">
        <v>2191</v>
      </c>
      <c r="L716" s="24" t="s">
        <v>39</v>
      </c>
      <c r="M716" s="24" t="s">
        <v>2190</v>
      </c>
      <c r="N716" s="24" t="s">
        <v>2190</v>
      </c>
      <c r="O716" s="24" t="s">
        <v>40</v>
      </c>
      <c r="P716" s="24" t="s">
        <v>2192</v>
      </c>
      <c r="Q716" s="24" t="s">
        <v>2193</v>
      </c>
      <c r="R716" s="24" t="s">
        <v>2194</v>
      </c>
      <c r="S716" s="24" t="s">
        <v>2192</v>
      </c>
      <c r="AJ716" s="175"/>
      <c r="AK716" s="175"/>
      <c r="AL716" s="175"/>
      <c r="AM716" s="175"/>
      <c r="AN716" s="175"/>
      <c r="AO716" s="175"/>
      <c r="AP716" s="175"/>
      <c r="AS716" s="3"/>
      <c r="BD716" s="97"/>
      <c r="EL716" s="3"/>
      <c r="EM716" s="3"/>
    </row>
    <row r="717" spans="9:143">
      <c r="J717" s="112" t="s">
        <v>2195</v>
      </c>
      <c r="K717" s="112" t="s">
        <v>2195</v>
      </c>
      <c r="L717" s="37">
        <v>18</v>
      </c>
      <c r="M717" s="37">
        <v>0</v>
      </c>
      <c r="N717" s="37">
        <v>38.700000000000003</v>
      </c>
      <c r="O717" s="37">
        <v>2</v>
      </c>
      <c r="P717" s="37">
        <v>55</v>
      </c>
      <c r="Q717" s="37">
        <v>54</v>
      </c>
      <c r="R717" s="22" t="s">
        <v>2196</v>
      </c>
      <c r="S717" s="23" t="s">
        <v>2197</v>
      </c>
      <c r="AJ717" s="175"/>
      <c r="AK717" s="175"/>
      <c r="AL717" s="175"/>
      <c r="AM717" s="175"/>
      <c r="AN717" s="175"/>
      <c r="AO717" s="175"/>
      <c r="AP717" s="175"/>
      <c r="AS717" s="3"/>
      <c r="BD717" s="97"/>
      <c r="EL717" s="3"/>
      <c r="EM717" s="3"/>
    </row>
    <row r="718" spans="9:143">
      <c r="J718" s="112" t="s">
        <v>2198</v>
      </c>
      <c r="K718" s="112" t="s">
        <v>2198</v>
      </c>
      <c r="L718" s="37">
        <v>18</v>
      </c>
      <c r="M718" s="37">
        <v>1</v>
      </c>
      <c r="N718" s="37">
        <v>45.2</v>
      </c>
      <c r="O718" s="37">
        <v>1</v>
      </c>
      <c r="P718" s="37">
        <v>18</v>
      </c>
      <c r="Q718" s="37">
        <v>18</v>
      </c>
      <c r="R718" s="22" t="s">
        <v>2199</v>
      </c>
      <c r="S718" s="23" t="s">
        <v>2200</v>
      </c>
      <c r="AJ718" s="175"/>
      <c r="AK718" s="175"/>
      <c r="AL718" s="175"/>
      <c r="AM718" s="175"/>
      <c r="AN718" s="175"/>
      <c r="AO718" s="175"/>
      <c r="AP718" s="175"/>
      <c r="AS718" s="3"/>
      <c r="BD718" s="97"/>
      <c r="EL718" s="3"/>
      <c r="EM718" s="3"/>
    </row>
    <row r="719" spans="9:143">
      <c r="J719" s="112" t="s">
        <v>2201</v>
      </c>
      <c r="K719" s="112" t="s">
        <v>2201</v>
      </c>
      <c r="L719" s="37">
        <v>18</v>
      </c>
      <c r="M719" s="37">
        <v>5</v>
      </c>
      <c r="N719" s="37">
        <v>27.3</v>
      </c>
      <c r="O719" s="37">
        <v>2</v>
      </c>
      <c r="P719" s="37">
        <v>3</v>
      </c>
      <c r="Q719" s="37">
        <v>0</v>
      </c>
      <c r="R719" s="22" t="s">
        <v>2202</v>
      </c>
      <c r="S719" s="23" t="s">
        <v>2203</v>
      </c>
      <c r="AJ719" s="175"/>
      <c r="AK719" s="175"/>
      <c r="AL719" s="175"/>
      <c r="AM719" s="175"/>
      <c r="AN719" s="175"/>
      <c r="AO719" s="175"/>
      <c r="AP719" s="175"/>
      <c r="AS719" s="3"/>
      <c r="BD719" s="97"/>
      <c r="EL719" s="3"/>
      <c r="EM719" s="3"/>
    </row>
    <row r="720" spans="9:143">
      <c r="I720" s="22"/>
      <c r="J720" s="156" t="s">
        <v>2204</v>
      </c>
      <c r="K720" s="156" t="s">
        <v>2204</v>
      </c>
      <c r="L720" s="22">
        <v>17</v>
      </c>
      <c r="M720" s="22">
        <v>34</v>
      </c>
      <c r="N720" s="22">
        <v>56.1</v>
      </c>
      <c r="O720" s="22">
        <v>12</v>
      </c>
      <c r="P720" s="22">
        <v>33</v>
      </c>
      <c r="Q720" s="22">
        <v>36</v>
      </c>
      <c r="R720" s="22" t="s">
        <v>2205</v>
      </c>
      <c r="S720" s="23" t="s">
        <v>2206</v>
      </c>
      <c r="AJ720" s="175"/>
      <c r="AK720" s="175"/>
      <c r="AL720" s="175"/>
      <c r="AM720" s="175"/>
      <c r="AN720" s="175"/>
      <c r="AO720" s="175"/>
      <c r="AP720" s="175"/>
      <c r="AS720" s="3"/>
      <c r="BD720" s="97"/>
      <c r="EL720" s="3"/>
      <c r="EM720" s="3"/>
    </row>
    <row r="721" spans="9:143">
      <c r="I721" s="22"/>
      <c r="J721" s="156" t="s">
        <v>2207</v>
      </c>
      <c r="K721" s="156" t="s">
        <v>2207</v>
      </c>
      <c r="L721" s="22">
        <v>17</v>
      </c>
      <c r="M721" s="22">
        <v>43</v>
      </c>
      <c r="N721" s="22">
        <v>28.4</v>
      </c>
      <c r="O721" s="22">
        <v>4</v>
      </c>
      <c r="P721" s="22">
        <v>34</v>
      </c>
      <c r="Q721" s="22">
        <v>2</v>
      </c>
      <c r="R721" s="22" t="s">
        <v>2208</v>
      </c>
      <c r="S721" s="23" t="s">
        <v>2209</v>
      </c>
      <c r="AJ721" s="175"/>
      <c r="AK721" s="175"/>
      <c r="AL721" s="175"/>
      <c r="AM721" s="175"/>
      <c r="AN721" s="175"/>
      <c r="AO721" s="175"/>
      <c r="AP721" s="175"/>
      <c r="AS721" s="3"/>
      <c r="BD721" s="97"/>
      <c r="EL721" s="3"/>
      <c r="EM721" s="3"/>
    </row>
    <row r="722" spans="9:143">
      <c r="I722" s="22"/>
      <c r="J722" s="156" t="s">
        <v>2210</v>
      </c>
      <c r="K722" s="156" t="s">
        <v>2210</v>
      </c>
      <c r="L722" s="22">
        <v>17</v>
      </c>
      <c r="M722" s="22">
        <v>47</v>
      </c>
      <c r="N722" s="22">
        <v>53.6</v>
      </c>
      <c r="O722" s="22">
        <v>2</v>
      </c>
      <c r="P722" s="22">
        <v>42</v>
      </c>
      <c r="Q722" s="22">
        <v>26</v>
      </c>
      <c r="R722" s="22" t="s">
        <v>2211</v>
      </c>
      <c r="S722" s="23" t="s">
        <v>2212</v>
      </c>
      <c r="AJ722" s="175"/>
      <c r="AK722" s="175"/>
      <c r="AL722" s="175"/>
      <c r="AM722" s="175"/>
      <c r="AN722" s="175"/>
      <c r="AO722" s="175"/>
      <c r="AP722" s="175"/>
      <c r="AS722" s="3"/>
      <c r="BD722" s="97"/>
      <c r="EL722" s="3"/>
      <c r="EM722" s="3"/>
    </row>
    <row r="723" spans="9:143">
      <c r="I723" s="22"/>
      <c r="J723" s="156" t="s">
        <v>2213</v>
      </c>
      <c r="K723" s="156" t="s">
        <v>2213</v>
      </c>
      <c r="L723" s="22">
        <v>16</v>
      </c>
      <c r="M723" s="22">
        <v>14</v>
      </c>
      <c r="N723" s="22">
        <v>20.7</v>
      </c>
      <c r="O723" s="22">
        <v>-3</v>
      </c>
      <c r="P723" s="22">
        <v>-41</v>
      </c>
      <c r="Q723" s="22">
        <v>-40</v>
      </c>
      <c r="R723" s="22" t="s">
        <v>2214</v>
      </c>
      <c r="S723" s="23" t="s">
        <v>2215</v>
      </c>
      <c r="AJ723" s="175"/>
      <c r="AK723" s="175"/>
      <c r="AL723" s="175"/>
      <c r="AM723" s="175"/>
      <c r="AN723" s="175"/>
      <c r="AO723" s="175"/>
      <c r="AP723" s="175"/>
      <c r="AS723" s="3"/>
      <c r="BD723" s="97"/>
      <c r="EL723" s="3"/>
      <c r="EM723" s="3"/>
    </row>
    <row r="724" spans="9:143">
      <c r="I724" s="22"/>
      <c r="J724" s="156" t="s">
        <v>2216</v>
      </c>
      <c r="K724" s="156" t="s">
        <v>2216</v>
      </c>
      <c r="L724" s="22">
        <v>16</v>
      </c>
      <c r="M724" s="22">
        <v>18</v>
      </c>
      <c r="N724" s="22">
        <v>19.3</v>
      </c>
      <c r="O724" s="22">
        <v>-4</v>
      </c>
      <c r="P724" s="22">
        <v>-41</v>
      </c>
      <c r="Q724" s="22">
        <v>-33</v>
      </c>
      <c r="R724" s="22" t="s">
        <v>2217</v>
      </c>
      <c r="S724" s="23" t="s">
        <v>2218</v>
      </c>
      <c r="AJ724" s="175"/>
      <c r="AK724" s="175"/>
      <c r="AL724" s="175"/>
      <c r="AM724" s="175"/>
      <c r="AN724" s="175"/>
      <c r="AO724" s="175"/>
      <c r="AP724" s="175"/>
      <c r="AS724" s="3"/>
      <c r="BD724" s="97"/>
      <c r="EL724" s="3"/>
      <c r="EM724" s="3"/>
    </row>
    <row r="725" spans="9:143">
      <c r="I725" s="22"/>
      <c r="J725" s="156" t="s">
        <v>2219</v>
      </c>
      <c r="K725" s="156" t="s">
        <v>2219</v>
      </c>
      <c r="L725" s="22">
        <v>16</v>
      </c>
      <c r="M725" s="22">
        <v>37</v>
      </c>
      <c r="N725" s="22">
        <v>9.6</v>
      </c>
      <c r="O725" s="22">
        <v>-10</v>
      </c>
      <c r="P725" s="22">
        <v>-34</v>
      </c>
      <c r="Q725" s="22">
        <v>-2</v>
      </c>
      <c r="R725" s="22" t="s">
        <v>2220</v>
      </c>
      <c r="S725" s="23" t="s">
        <v>2221</v>
      </c>
      <c r="AJ725" s="175"/>
      <c r="AK725" s="175"/>
      <c r="AL725" s="175"/>
      <c r="AM725" s="175"/>
      <c r="AN725" s="175"/>
      <c r="AO725" s="175"/>
      <c r="AP725" s="175"/>
      <c r="AS725" s="3"/>
      <c r="BD725" s="97"/>
      <c r="EL725" s="3"/>
      <c r="EM725" s="3"/>
    </row>
    <row r="726" spans="9:143">
      <c r="I726" s="22"/>
      <c r="J726" s="156" t="s">
        <v>2222</v>
      </c>
      <c r="K726" s="156" t="s">
        <v>2222</v>
      </c>
      <c r="L726" s="22">
        <v>17</v>
      </c>
      <c r="M726" s="22">
        <v>10</v>
      </c>
      <c r="N726" s="22">
        <v>22.7</v>
      </c>
      <c r="O726" s="22">
        <v>-15</v>
      </c>
      <c r="P726" s="22">
        <v>-43</v>
      </c>
      <c r="Q726" s="22">
        <v>-30</v>
      </c>
      <c r="R726" s="22" t="s">
        <v>2223</v>
      </c>
      <c r="S726" s="23" t="s">
        <v>2224</v>
      </c>
      <c r="AJ726" s="175"/>
      <c r="AK726" s="175"/>
      <c r="AL726" s="175"/>
      <c r="AM726" s="175"/>
      <c r="AN726" s="175"/>
      <c r="AO726" s="175"/>
      <c r="AP726" s="175"/>
      <c r="AS726" s="3"/>
      <c r="BD726" s="97"/>
      <c r="EL726" s="3"/>
      <c r="EM726" s="3"/>
    </row>
    <row r="727" spans="9:143">
      <c r="I727" s="22"/>
      <c r="J727" s="156" t="s">
        <v>2225</v>
      </c>
      <c r="K727" s="156" t="s">
        <v>2225</v>
      </c>
      <c r="L727" s="22">
        <v>17</v>
      </c>
      <c r="M727" s="22">
        <v>22</v>
      </c>
      <c r="N727" s="22">
        <v>0.6</v>
      </c>
      <c r="O727" s="22">
        <v>-24</v>
      </c>
      <c r="P727" s="22">
        <v>-59</v>
      </c>
      <c r="Q727" s="22">
        <v>-58</v>
      </c>
      <c r="R727" s="22" t="s">
        <v>2226</v>
      </c>
      <c r="S727" s="23" t="s">
        <v>2227</v>
      </c>
      <c r="AJ727" s="175"/>
      <c r="AK727" s="175"/>
      <c r="AL727" s="175"/>
      <c r="AM727" s="175"/>
      <c r="AN727" s="175"/>
      <c r="AO727" s="175"/>
      <c r="AP727" s="175"/>
      <c r="AS727" s="3"/>
      <c r="BD727" s="97"/>
      <c r="EL727" s="3"/>
      <c r="EM727" s="3"/>
    </row>
    <row r="728" spans="9:143">
      <c r="I728" s="22"/>
      <c r="J728" s="156" t="s">
        <v>2228</v>
      </c>
      <c r="K728" s="156" t="s">
        <v>2228</v>
      </c>
      <c r="L728" s="22">
        <v>17</v>
      </c>
      <c r="M728" s="22">
        <v>59</v>
      </c>
      <c r="N728" s="22">
        <v>1.6</v>
      </c>
      <c r="O728" s="22">
        <v>-9</v>
      </c>
      <c r="P728" s="22">
        <v>-46</v>
      </c>
      <c r="Q728" s="22">
        <v>-25</v>
      </c>
      <c r="R728" s="22" t="s">
        <v>2229</v>
      </c>
      <c r="S728" s="23" t="s">
        <v>2230</v>
      </c>
      <c r="AJ728" s="175"/>
      <c r="AK728" s="175"/>
      <c r="AL728" s="175"/>
      <c r="AM728" s="175"/>
      <c r="AN728" s="175"/>
      <c r="AO728" s="175"/>
      <c r="AP728" s="175"/>
      <c r="AS728" s="3"/>
      <c r="BD728" s="97"/>
      <c r="EL728" s="3"/>
      <c r="EM728" s="3"/>
    </row>
    <row r="729" spans="9:143">
      <c r="I729" s="22"/>
      <c r="J729" s="156" t="s">
        <v>2231</v>
      </c>
      <c r="K729" s="156" t="s">
        <v>2231</v>
      </c>
      <c r="L729" s="22">
        <v>16</v>
      </c>
      <c r="M729" s="22">
        <v>25</v>
      </c>
      <c r="N729" s="22">
        <v>35.200000000000003</v>
      </c>
      <c r="O729" s="22">
        <v>-23</v>
      </c>
      <c r="P729" s="22">
        <v>-26</v>
      </c>
      <c r="Q729" s="22">
        <v>-50</v>
      </c>
      <c r="R729" s="22" t="s">
        <v>2232</v>
      </c>
      <c r="S729" s="23" t="s">
        <v>2233</v>
      </c>
      <c r="AJ729" s="175"/>
      <c r="AK729" s="175"/>
      <c r="AL729" s="175"/>
      <c r="AM729" s="175"/>
      <c r="AN729" s="175"/>
      <c r="AO729" s="175"/>
      <c r="AP729" s="175"/>
      <c r="AS729" s="3"/>
      <c r="BD729" s="97"/>
      <c r="EL729" s="3"/>
      <c r="EM729" s="3"/>
    </row>
    <row r="730" spans="9:143">
      <c r="I730" s="24" t="s">
        <v>2234</v>
      </c>
      <c r="J730" s="157" t="s">
        <v>2235</v>
      </c>
      <c r="K730" s="157" t="s">
        <v>2235</v>
      </c>
      <c r="L730" s="24" t="s">
        <v>39</v>
      </c>
      <c r="M730" s="24" t="s">
        <v>2234</v>
      </c>
      <c r="N730" s="24" t="s">
        <v>2234</v>
      </c>
      <c r="O730" s="24" t="s">
        <v>40</v>
      </c>
      <c r="P730" s="24" t="s">
        <v>2236</v>
      </c>
      <c r="Q730" s="24" t="s">
        <v>2237</v>
      </c>
      <c r="R730" s="24" t="s">
        <v>2238</v>
      </c>
      <c r="S730" s="24" t="s">
        <v>2236</v>
      </c>
      <c r="AJ730" s="175"/>
      <c r="AK730" s="175"/>
      <c r="AL730" s="175"/>
      <c r="AM730" s="175"/>
      <c r="AN730" s="175"/>
      <c r="AO730" s="175"/>
      <c r="AP730" s="175"/>
      <c r="AS730" s="3"/>
      <c r="BD730" s="97"/>
      <c r="EL730" s="3"/>
      <c r="EM730" s="3"/>
    </row>
    <row r="731" spans="9:143">
      <c r="I731" s="22"/>
      <c r="J731" s="156" t="s">
        <v>2239</v>
      </c>
      <c r="K731" s="156" t="s">
        <v>2239</v>
      </c>
      <c r="L731" s="22">
        <v>14</v>
      </c>
      <c r="M731" s="22">
        <v>46</v>
      </c>
      <c r="N731" s="22">
        <v>14.9</v>
      </c>
      <c r="O731" s="22">
        <v>1</v>
      </c>
      <c r="P731" s="22">
        <v>53</v>
      </c>
      <c r="Q731" s="22">
        <v>34</v>
      </c>
      <c r="R731" s="22" t="s">
        <v>2240</v>
      </c>
      <c r="S731" s="23" t="s">
        <v>2241</v>
      </c>
      <c r="AJ731" s="175"/>
      <c r="AK731" s="175"/>
      <c r="AL731" s="175"/>
      <c r="AM731" s="175"/>
      <c r="AN731" s="175"/>
      <c r="AO731" s="175"/>
      <c r="AP731" s="175"/>
      <c r="AS731" s="3"/>
      <c r="BD731" s="97"/>
      <c r="EL731" s="3"/>
      <c r="EM731" s="3"/>
    </row>
    <row r="732" spans="9:143">
      <c r="I732" s="22"/>
      <c r="J732" s="156" t="s">
        <v>2242</v>
      </c>
      <c r="K732" s="156" t="s">
        <v>2242</v>
      </c>
      <c r="L732" s="22">
        <v>13</v>
      </c>
      <c r="M732" s="22">
        <v>25</v>
      </c>
      <c r="N732" s="22">
        <v>11.6</v>
      </c>
      <c r="O732" s="22">
        <v>-11</v>
      </c>
      <c r="P732" s="22">
        <v>-9</v>
      </c>
      <c r="Q732" s="22">
        <v>-41</v>
      </c>
      <c r="R732" s="22" t="s">
        <v>2243</v>
      </c>
      <c r="S732" s="23" t="s">
        <v>2244</v>
      </c>
      <c r="AJ732" s="175"/>
      <c r="AK732" s="175"/>
      <c r="AL732" s="175"/>
      <c r="AM732" s="175"/>
      <c r="AN732" s="175"/>
      <c r="AO732" s="175"/>
      <c r="AP732" s="175"/>
      <c r="AS732" s="3"/>
      <c r="BD732" s="97"/>
      <c r="EL732" s="3"/>
      <c r="EM732" s="3"/>
    </row>
    <row r="733" spans="9:143">
      <c r="I733" s="22"/>
      <c r="J733" s="156" t="s">
        <v>2245</v>
      </c>
      <c r="K733" s="156" t="s">
        <v>2245</v>
      </c>
      <c r="L733" s="22">
        <v>11</v>
      </c>
      <c r="M733" s="22">
        <v>50</v>
      </c>
      <c r="N733" s="22">
        <v>41.7</v>
      </c>
      <c r="O733" s="22">
        <v>1</v>
      </c>
      <c r="P733" s="22">
        <v>45</v>
      </c>
      <c r="Q733" s="22">
        <v>53</v>
      </c>
      <c r="R733" s="22" t="s">
        <v>2246</v>
      </c>
      <c r="S733" s="23" t="s">
        <v>2247</v>
      </c>
      <c r="AJ733" s="175"/>
      <c r="AK733" s="175"/>
      <c r="AL733" s="175"/>
      <c r="AM733" s="175"/>
      <c r="AN733" s="175"/>
      <c r="AO733" s="175"/>
      <c r="AP733" s="175"/>
      <c r="AS733" s="3"/>
      <c r="BD733" s="97"/>
      <c r="EL733" s="3"/>
      <c r="EM733" s="3"/>
    </row>
    <row r="734" spans="9:143">
      <c r="I734" s="22"/>
      <c r="J734" s="156" t="s">
        <v>2248</v>
      </c>
      <c r="K734" s="156" t="s">
        <v>2248</v>
      </c>
      <c r="L734" s="22">
        <v>12</v>
      </c>
      <c r="M734" s="22">
        <v>41</v>
      </c>
      <c r="N734" s="22">
        <v>39.6</v>
      </c>
      <c r="O734" s="22">
        <v>-1</v>
      </c>
      <c r="P734" s="22">
        <v>-26</v>
      </c>
      <c r="Q734" s="22">
        <v>-58</v>
      </c>
      <c r="R734" s="22" t="s">
        <v>2249</v>
      </c>
      <c r="S734" s="23" t="s">
        <v>2250</v>
      </c>
      <c r="AJ734" s="175"/>
      <c r="AK734" s="175"/>
      <c r="AL734" s="175"/>
      <c r="AM734" s="175"/>
      <c r="AN734" s="175"/>
      <c r="AO734" s="175"/>
      <c r="AP734" s="175"/>
      <c r="AS734" s="3"/>
      <c r="BD734" s="97"/>
      <c r="EL734" s="3"/>
      <c r="EM734" s="3"/>
    </row>
    <row r="735" spans="9:143">
      <c r="I735" s="22"/>
      <c r="J735" s="156" t="s">
        <v>2251</v>
      </c>
      <c r="K735" s="156" t="s">
        <v>2251</v>
      </c>
      <c r="L735" s="22">
        <v>12</v>
      </c>
      <c r="M735" s="22">
        <v>55</v>
      </c>
      <c r="N735" s="22">
        <v>36.200000000000003</v>
      </c>
      <c r="O735" s="22">
        <v>3</v>
      </c>
      <c r="P735" s="22">
        <v>23</v>
      </c>
      <c r="Q735" s="22">
        <v>51</v>
      </c>
      <c r="R735" s="22" t="s">
        <v>2252</v>
      </c>
      <c r="S735" s="23" t="s">
        <v>2253</v>
      </c>
      <c r="AJ735" s="175"/>
      <c r="AK735" s="175"/>
      <c r="AL735" s="175"/>
      <c r="AM735" s="175"/>
      <c r="AN735" s="175"/>
      <c r="AO735" s="175"/>
      <c r="AP735" s="175"/>
      <c r="AS735" s="3"/>
      <c r="BD735" s="97"/>
      <c r="EL735" s="3"/>
      <c r="EM735" s="3"/>
    </row>
    <row r="736" spans="9:143">
      <c r="I736" s="22"/>
      <c r="J736" s="156" t="s">
        <v>2254</v>
      </c>
      <c r="K736" s="156" t="s">
        <v>2254</v>
      </c>
      <c r="L736" s="22">
        <v>13</v>
      </c>
      <c r="M736" s="22">
        <v>2</v>
      </c>
      <c r="N736" s="22">
        <v>10.6</v>
      </c>
      <c r="O736" s="22">
        <v>10</v>
      </c>
      <c r="P736" s="22">
        <v>57</v>
      </c>
      <c r="Q736" s="22">
        <v>33</v>
      </c>
      <c r="R736" s="22" t="s">
        <v>2255</v>
      </c>
      <c r="S736" s="23" t="s">
        <v>2256</v>
      </c>
      <c r="AJ736" s="175"/>
      <c r="AK736" s="175"/>
      <c r="AL736" s="175"/>
      <c r="AM736" s="175"/>
      <c r="AN736" s="175"/>
      <c r="AO736" s="175"/>
      <c r="AP736" s="175"/>
      <c r="AS736" s="3"/>
      <c r="BD736" s="97"/>
      <c r="EL736" s="3"/>
      <c r="EM736" s="3"/>
    </row>
    <row r="737" spans="9:143">
      <c r="I737" s="22"/>
      <c r="J737" s="156" t="s">
        <v>2257</v>
      </c>
      <c r="K737" s="156" t="s">
        <v>2257</v>
      </c>
      <c r="L737" s="22">
        <v>13</v>
      </c>
      <c r="M737" s="22">
        <v>34</v>
      </c>
      <c r="N737" s="22">
        <v>41.7</v>
      </c>
      <c r="O737" s="22">
        <v>0</v>
      </c>
      <c r="P737" s="22">
        <v>-35</v>
      </c>
      <c r="Q737" s="22">
        <v>-45</v>
      </c>
      <c r="R737" s="22" t="s">
        <v>2258</v>
      </c>
      <c r="S737" s="23" t="s">
        <v>2259</v>
      </c>
      <c r="V737" s="5"/>
      <c r="W737" s="5"/>
      <c r="X737" s="283" t="s">
        <v>3101</v>
      </c>
      <c r="Y737" s="5"/>
      <c r="Z737" s="342"/>
      <c r="AA737" s="5"/>
      <c r="AB737" s="5"/>
      <c r="AC737" s="5"/>
      <c r="AD737" s="5"/>
      <c r="AE737" s="5"/>
      <c r="AF737" s="5"/>
      <c r="AG737" s="5"/>
      <c r="AJ737" s="175"/>
      <c r="AK737" s="175"/>
      <c r="AL737" s="175"/>
      <c r="AM737" s="175"/>
      <c r="AN737" s="175"/>
      <c r="AO737" s="175"/>
      <c r="AP737" s="175"/>
      <c r="AS737" s="3"/>
      <c r="BD737" s="97"/>
      <c r="EL737" s="3"/>
      <c r="EM737" s="3"/>
    </row>
    <row r="738" spans="9:143">
      <c r="I738" s="22"/>
      <c r="J738" s="156" t="s">
        <v>2260</v>
      </c>
      <c r="K738" s="156" t="s">
        <v>2260</v>
      </c>
      <c r="L738" s="22">
        <v>12</v>
      </c>
      <c r="M738" s="22">
        <v>19</v>
      </c>
      <c r="N738" s="22">
        <v>54.3</v>
      </c>
      <c r="O738" s="22">
        <v>0</v>
      </c>
      <c r="P738" s="22">
        <v>-40</v>
      </c>
      <c r="Q738" s="22">
        <v>0</v>
      </c>
      <c r="R738" s="22" t="s">
        <v>2261</v>
      </c>
      <c r="S738" s="23" t="s">
        <v>2262</v>
      </c>
      <c r="AJ738" s="175"/>
      <c r="AK738" s="175"/>
      <c r="AL738" s="175"/>
      <c r="AM738" s="175"/>
      <c r="AN738" s="175"/>
      <c r="AO738" s="175"/>
      <c r="AP738" s="175"/>
      <c r="AS738" s="3"/>
      <c r="BD738" s="97"/>
      <c r="EL738" s="3"/>
      <c r="EM738" s="3"/>
    </row>
    <row r="739" spans="9:143">
      <c r="I739" s="22"/>
      <c r="J739" s="156" t="s">
        <v>2263</v>
      </c>
      <c r="K739" s="156" t="s">
        <v>2263</v>
      </c>
      <c r="L739" s="22">
        <v>13</v>
      </c>
      <c r="M739" s="22">
        <v>9</v>
      </c>
      <c r="N739" s="22">
        <v>57</v>
      </c>
      <c r="O739" s="22">
        <v>-5</v>
      </c>
      <c r="P739" s="22">
        <v>-32</v>
      </c>
      <c r="Q739" s="22">
        <v>-20</v>
      </c>
      <c r="R739" s="22" t="s">
        <v>2264</v>
      </c>
      <c r="S739" s="23" t="s">
        <v>2265</v>
      </c>
      <c r="AJ739" s="175"/>
      <c r="AK739" s="175"/>
      <c r="AL739" s="175"/>
      <c r="AM739" s="175"/>
      <c r="AN739" s="175"/>
      <c r="AO739" s="175"/>
      <c r="AP739" s="175"/>
      <c r="AS739" s="3"/>
      <c r="BD739" s="97"/>
      <c r="EL739" s="3"/>
      <c r="EM739" s="3"/>
    </row>
    <row r="740" spans="9:143">
      <c r="I740" s="22"/>
      <c r="J740" s="156" t="s">
        <v>2266</v>
      </c>
      <c r="K740" s="156" t="s">
        <v>2266</v>
      </c>
      <c r="L740" s="22">
        <v>14</v>
      </c>
      <c r="M740" s="22">
        <v>16</v>
      </c>
      <c r="N740" s="22">
        <v>0.9</v>
      </c>
      <c r="O740" s="22">
        <v>-6</v>
      </c>
      <c r="P740" s="22">
        <v>0</v>
      </c>
      <c r="Q740" s="22">
        <v>-2</v>
      </c>
      <c r="R740" s="22" t="s">
        <v>2267</v>
      </c>
      <c r="S740" s="23" t="s">
        <v>2268</v>
      </c>
      <c r="AJ740" s="175"/>
      <c r="AK740" s="175"/>
      <c r="AL740" s="175"/>
      <c r="AM740" s="175"/>
      <c r="AN740" s="175"/>
      <c r="AO740" s="175"/>
      <c r="AP740" s="175"/>
      <c r="AS740" s="3"/>
      <c r="BD740" s="97"/>
      <c r="EL740" s="3"/>
      <c r="EM740" s="3"/>
    </row>
    <row r="741" spans="9:143">
      <c r="I741" s="22"/>
      <c r="J741" s="156" t="s">
        <v>2269</v>
      </c>
      <c r="K741" s="156" t="s">
        <v>2269</v>
      </c>
      <c r="L741" s="22">
        <v>14</v>
      </c>
      <c r="M741" s="22">
        <v>12</v>
      </c>
      <c r="N741" s="22">
        <v>53.7</v>
      </c>
      <c r="O741" s="22">
        <v>-10</v>
      </c>
      <c r="P741" s="22">
        <v>-16</v>
      </c>
      <c r="Q741" s="22">
        <v>-25</v>
      </c>
      <c r="R741" s="22" t="s">
        <v>2270</v>
      </c>
      <c r="S741" s="23" t="s">
        <v>2271</v>
      </c>
      <c r="AJ741" s="175"/>
      <c r="AK741" s="175"/>
      <c r="AL741" s="175"/>
      <c r="AM741" s="175"/>
      <c r="AN741" s="175"/>
      <c r="AO741" s="175"/>
      <c r="AP741" s="175"/>
      <c r="AS741" s="3"/>
      <c r="BD741" s="97"/>
      <c r="EL741" s="3"/>
      <c r="EM741" s="3"/>
    </row>
    <row r="742" spans="9:143">
      <c r="I742" s="22"/>
      <c r="J742" s="156" t="s">
        <v>2272</v>
      </c>
      <c r="K742" s="156" t="s">
        <v>2272</v>
      </c>
      <c r="L742" s="22">
        <v>14</v>
      </c>
      <c r="M742" s="22">
        <v>43</v>
      </c>
      <c r="N742" s="22">
        <v>3.6</v>
      </c>
      <c r="O742" s="22">
        <v>-5</v>
      </c>
      <c r="P742" s="22">
        <v>-39</v>
      </c>
      <c r="Q742" s="22">
        <v>-30</v>
      </c>
      <c r="R742" s="22" t="s">
        <v>2273</v>
      </c>
      <c r="S742" s="23" t="s">
        <v>2274</v>
      </c>
      <c r="AJ742" s="175"/>
      <c r="AK742" s="175"/>
      <c r="AL742" s="175"/>
      <c r="AM742" s="175"/>
      <c r="AN742" s="175"/>
      <c r="AO742" s="175"/>
      <c r="AP742" s="175"/>
      <c r="AS742" s="3"/>
      <c r="BD742" s="97"/>
      <c r="EL742" s="3"/>
      <c r="EM742" s="3"/>
    </row>
    <row r="743" spans="9:143">
      <c r="I743" s="22"/>
      <c r="J743" s="156" t="s">
        <v>2275</v>
      </c>
      <c r="K743" s="156" t="s">
        <v>2275</v>
      </c>
      <c r="L743" s="22">
        <v>11</v>
      </c>
      <c r="M743" s="22">
        <v>45</v>
      </c>
      <c r="N743" s="22">
        <v>51.6</v>
      </c>
      <c r="O743" s="22">
        <v>6</v>
      </c>
      <c r="P743" s="22">
        <v>31</v>
      </c>
      <c r="Q743" s="22">
        <v>46</v>
      </c>
      <c r="R743" s="22" t="s">
        <v>2276</v>
      </c>
      <c r="S743" s="23" t="s">
        <v>2277</v>
      </c>
      <c r="AJ743" s="175"/>
      <c r="AK743" s="175"/>
      <c r="AL743" s="175"/>
      <c r="AM743" s="175"/>
      <c r="AN743" s="175"/>
      <c r="AO743" s="175"/>
      <c r="AP743" s="175"/>
      <c r="AS743" s="3"/>
      <c r="BD743" s="97"/>
      <c r="EL743" s="3"/>
      <c r="EM743" s="3"/>
    </row>
    <row r="744" spans="9:143">
      <c r="I744" s="22"/>
      <c r="J744" s="156" t="s">
        <v>2278</v>
      </c>
      <c r="K744" s="156" t="s">
        <v>2278</v>
      </c>
      <c r="L744" s="22">
        <v>12</v>
      </c>
      <c r="M744" s="22">
        <v>5</v>
      </c>
      <c r="N744" s="22">
        <v>12.5</v>
      </c>
      <c r="O744" s="22">
        <v>8</v>
      </c>
      <c r="P744" s="22">
        <v>43</v>
      </c>
      <c r="Q744" s="22">
        <v>59</v>
      </c>
      <c r="R744" s="22" t="s">
        <v>2279</v>
      </c>
      <c r="S744" s="23" t="s">
        <v>2280</v>
      </c>
      <c r="AJ744" s="175"/>
      <c r="AK744" s="175"/>
      <c r="AL744" s="175"/>
      <c r="AM744" s="175"/>
      <c r="AN744" s="175"/>
      <c r="AO744" s="175"/>
      <c r="AP744" s="175"/>
      <c r="AS744" s="3"/>
      <c r="BD744" s="97"/>
      <c r="EL744" s="3"/>
      <c r="EM744" s="3"/>
    </row>
    <row r="745" spans="9:143">
      <c r="I745" s="22"/>
      <c r="J745" s="156" t="s">
        <v>2281</v>
      </c>
      <c r="K745" s="156" t="s">
        <v>2281</v>
      </c>
      <c r="L745" s="22">
        <v>14</v>
      </c>
      <c r="M745" s="22">
        <v>1</v>
      </c>
      <c r="N745" s="22">
        <v>38.799999999999997</v>
      </c>
      <c r="O745" s="22">
        <v>1</v>
      </c>
      <c r="P745" s="22">
        <v>32</v>
      </c>
      <c r="Q745" s="22">
        <v>40</v>
      </c>
      <c r="R745" s="22" t="s">
        <v>2282</v>
      </c>
      <c r="S745" s="23" t="s">
        <v>2283</v>
      </c>
      <c r="AJ745" s="175"/>
      <c r="AK745" s="175"/>
      <c r="AL745" s="175"/>
      <c r="AM745" s="175"/>
      <c r="AN745" s="175"/>
      <c r="AO745" s="175"/>
      <c r="AP745" s="175"/>
      <c r="AS745" s="3"/>
      <c r="BD745" s="97"/>
      <c r="EL745" s="3"/>
      <c r="EM745" s="3"/>
    </row>
    <row r="746" spans="9:143">
      <c r="I746" s="24" t="s">
        <v>2284</v>
      </c>
      <c r="J746" s="157" t="s">
        <v>2285</v>
      </c>
      <c r="K746" s="157" t="s">
        <v>2285</v>
      </c>
      <c r="L746" s="24" t="s">
        <v>39</v>
      </c>
      <c r="M746" s="24" t="s">
        <v>2284</v>
      </c>
      <c r="N746" s="24" t="s">
        <v>2284</v>
      </c>
      <c r="O746" s="24" t="s">
        <v>40</v>
      </c>
      <c r="P746" s="24" t="s">
        <v>2286</v>
      </c>
      <c r="Q746" s="24" t="s">
        <v>2287</v>
      </c>
      <c r="R746" s="24" t="s">
        <v>2288</v>
      </c>
      <c r="S746" s="24" t="s">
        <v>2286</v>
      </c>
      <c r="AJ746" s="175"/>
      <c r="AK746" s="175"/>
      <c r="AL746" s="175"/>
      <c r="AM746" s="175"/>
      <c r="AN746" s="175"/>
      <c r="AO746" s="175"/>
      <c r="AP746" s="175"/>
      <c r="AS746" s="3"/>
      <c r="BD746" s="97"/>
      <c r="EL746" s="3"/>
      <c r="EM746" s="3"/>
    </row>
    <row r="747" spans="9:143">
      <c r="I747" s="22"/>
      <c r="J747" s="156" t="s">
        <v>2289</v>
      </c>
      <c r="K747" s="156" t="s">
        <v>2289</v>
      </c>
      <c r="L747" s="22">
        <v>3</v>
      </c>
      <c r="M747" s="22">
        <v>24</v>
      </c>
      <c r="N747" s="22">
        <v>19.399999999999999</v>
      </c>
      <c r="O747" s="22">
        <v>49</v>
      </c>
      <c r="P747" s="22">
        <v>51</v>
      </c>
      <c r="Q747" s="22">
        <v>40</v>
      </c>
      <c r="R747" s="22" t="s">
        <v>2290</v>
      </c>
      <c r="S747" s="22" t="s">
        <v>2291</v>
      </c>
      <c r="AI747" s="5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BD747" s="97"/>
      <c r="EL747" s="3"/>
      <c r="EM747" s="3"/>
    </row>
    <row r="748" spans="9:143">
      <c r="I748" s="22"/>
      <c r="J748" s="156" t="s">
        <v>2292</v>
      </c>
      <c r="K748" s="156" t="s">
        <v>2292</v>
      </c>
      <c r="L748" s="22">
        <v>3</v>
      </c>
      <c r="M748" s="22">
        <v>8</v>
      </c>
      <c r="N748" s="22">
        <v>10.1</v>
      </c>
      <c r="O748" s="22">
        <v>40</v>
      </c>
      <c r="P748" s="22">
        <v>57</v>
      </c>
      <c r="Q748" s="22">
        <v>20</v>
      </c>
      <c r="R748" s="22" t="s">
        <v>2293</v>
      </c>
      <c r="S748" s="22" t="s">
        <v>2294</v>
      </c>
      <c r="AJ748" s="175"/>
      <c r="AK748" s="175"/>
      <c r="AL748" s="175"/>
      <c r="AM748" s="175"/>
      <c r="AN748" s="175"/>
      <c r="AO748" s="175"/>
      <c r="AP748" s="175"/>
      <c r="AS748" s="3"/>
      <c r="BD748" s="97"/>
      <c r="EL748" s="3"/>
      <c r="EM748" s="3"/>
    </row>
    <row r="749" spans="9:143">
      <c r="I749" s="22"/>
      <c r="J749" s="156" t="s">
        <v>2295</v>
      </c>
      <c r="K749" s="156" t="s">
        <v>2295</v>
      </c>
      <c r="L749" s="22">
        <v>3</v>
      </c>
      <c r="M749" s="22">
        <v>4</v>
      </c>
      <c r="N749" s="22">
        <v>47.8</v>
      </c>
      <c r="O749" s="22">
        <v>53</v>
      </c>
      <c r="P749" s="22">
        <v>30</v>
      </c>
      <c r="Q749" s="22">
        <v>23</v>
      </c>
      <c r="R749" s="22" t="s">
        <v>2296</v>
      </c>
      <c r="S749" s="22" t="s">
        <v>2297</v>
      </c>
      <c r="AJ749" s="175"/>
      <c r="AK749" s="175"/>
      <c r="AL749" s="175"/>
      <c r="AM749" s="175"/>
      <c r="AN749" s="175"/>
      <c r="AO749" s="175"/>
      <c r="AP749" s="175"/>
      <c r="AS749" s="3"/>
      <c r="BD749" s="97"/>
      <c r="EL749" s="3"/>
      <c r="EM749" s="3"/>
    </row>
    <row r="750" spans="9:143">
      <c r="I750" s="22"/>
      <c r="J750" s="156" t="s">
        <v>2298</v>
      </c>
      <c r="K750" s="156" t="s">
        <v>2298</v>
      </c>
      <c r="L750" s="22">
        <v>3</v>
      </c>
      <c r="M750" s="22">
        <v>42</v>
      </c>
      <c r="N750" s="22">
        <v>55.5</v>
      </c>
      <c r="O750" s="22">
        <v>47</v>
      </c>
      <c r="P750" s="22">
        <v>47</v>
      </c>
      <c r="Q750" s="22">
        <v>15</v>
      </c>
      <c r="R750" s="22" t="s">
        <v>2299</v>
      </c>
      <c r="S750" s="22" t="s">
        <v>2300</v>
      </c>
      <c r="AJ750" s="175"/>
      <c r="AK750" s="175"/>
      <c r="AL750" s="175"/>
      <c r="AM750" s="175"/>
      <c r="AN750" s="175"/>
      <c r="AO750" s="175"/>
      <c r="AP750" s="175"/>
      <c r="AS750" s="3"/>
      <c r="BD750" s="97"/>
      <c r="EL750" s="3"/>
      <c r="EM750" s="3"/>
    </row>
    <row r="751" spans="9:143">
      <c r="I751" s="22"/>
      <c r="J751" s="156" t="s">
        <v>2301</v>
      </c>
      <c r="K751" s="156" t="s">
        <v>2301</v>
      </c>
      <c r="L751" s="22">
        <v>3</v>
      </c>
      <c r="M751" s="22">
        <v>57</v>
      </c>
      <c r="N751" s="22">
        <v>51.2</v>
      </c>
      <c r="O751" s="22">
        <v>40</v>
      </c>
      <c r="P751" s="22">
        <v>0</v>
      </c>
      <c r="Q751" s="22">
        <v>37</v>
      </c>
      <c r="R751" s="22" t="s">
        <v>2302</v>
      </c>
      <c r="S751" s="22" t="s">
        <v>2303</v>
      </c>
      <c r="AJ751" s="175"/>
      <c r="AK751" s="175"/>
      <c r="AL751" s="175"/>
      <c r="AM751" s="175"/>
      <c r="AN751" s="175"/>
      <c r="AO751" s="175"/>
      <c r="AP751" s="175"/>
      <c r="AS751" s="3"/>
      <c r="BD751" s="97"/>
      <c r="EL751" s="3"/>
      <c r="EM751" s="3"/>
    </row>
    <row r="752" spans="9:143">
      <c r="I752" s="22"/>
      <c r="J752" s="156" t="s">
        <v>2304</v>
      </c>
      <c r="K752" s="156" t="s">
        <v>2304</v>
      </c>
      <c r="L752" s="22">
        <v>3</v>
      </c>
      <c r="M752" s="22">
        <v>54</v>
      </c>
      <c r="N752" s="22">
        <v>7.9</v>
      </c>
      <c r="O752" s="22">
        <v>31</v>
      </c>
      <c r="P752" s="22">
        <v>53</v>
      </c>
      <c r="Q752" s="22">
        <v>1</v>
      </c>
      <c r="R752" s="22" t="s">
        <v>2305</v>
      </c>
      <c r="S752" s="22" t="s">
        <v>2306</v>
      </c>
      <c r="AJ752" s="175"/>
      <c r="AK752" s="175"/>
      <c r="AL752" s="175"/>
      <c r="AM752" s="175"/>
      <c r="AN752" s="175"/>
      <c r="AO752" s="175"/>
      <c r="AP752" s="175"/>
      <c r="AS752" s="3"/>
      <c r="BD752" s="97"/>
      <c r="EL752" s="3"/>
      <c r="EM752" s="3"/>
    </row>
    <row r="753" spans="9:143">
      <c r="I753" s="22"/>
      <c r="J753" s="156" t="s">
        <v>2307</v>
      </c>
      <c r="K753" s="156" t="s">
        <v>2307</v>
      </c>
      <c r="L753" s="22">
        <v>2</v>
      </c>
      <c r="M753" s="22">
        <v>50</v>
      </c>
      <c r="N753" s="22">
        <v>41.8</v>
      </c>
      <c r="O753" s="22">
        <v>55</v>
      </c>
      <c r="P753" s="22">
        <v>53</v>
      </c>
      <c r="Q753" s="22">
        <v>44</v>
      </c>
      <c r="R753" s="22" t="s">
        <v>2308</v>
      </c>
      <c r="S753" s="22" t="s">
        <v>2309</v>
      </c>
      <c r="AJ753" s="175"/>
      <c r="AK753" s="175"/>
      <c r="AL753" s="175"/>
      <c r="AM753" s="175"/>
      <c r="AN753" s="175"/>
      <c r="AO753" s="175"/>
      <c r="AP753" s="175"/>
      <c r="AS753" s="3"/>
      <c r="BD753" s="97"/>
      <c r="EL753" s="3"/>
      <c r="EM753" s="3"/>
    </row>
    <row r="754" spans="9:143">
      <c r="I754" s="22"/>
      <c r="J754" s="156" t="s">
        <v>2310</v>
      </c>
      <c r="K754" s="156" t="s">
        <v>2310</v>
      </c>
      <c r="L754" s="22">
        <v>3</v>
      </c>
      <c r="M754" s="22">
        <v>45</v>
      </c>
      <c r="N754" s="22">
        <v>11.6</v>
      </c>
      <c r="O754" s="22">
        <v>42</v>
      </c>
      <c r="P754" s="22">
        <v>34</v>
      </c>
      <c r="Q754" s="22">
        <v>43</v>
      </c>
      <c r="R754" s="22" t="s">
        <v>2311</v>
      </c>
      <c r="S754" s="22" t="s">
        <v>2312</v>
      </c>
      <c r="AJ754" s="175"/>
      <c r="AK754" s="175"/>
      <c r="AL754" s="175"/>
      <c r="AM754" s="175"/>
      <c r="AN754" s="175"/>
      <c r="AO754" s="175"/>
      <c r="AP754" s="175"/>
      <c r="AS754" s="3"/>
      <c r="BD754" s="97"/>
      <c r="EL754" s="3"/>
      <c r="EM754" s="3"/>
    </row>
    <row r="755" spans="9:143">
      <c r="I755" s="22"/>
      <c r="J755" s="156" t="s">
        <v>2313</v>
      </c>
      <c r="K755" s="156" t="s">
        <v>2313</v>
      </c>
      <c r="L755" s="22">
        <v>3</v>
      </c>
      <c r="M755" s="22">
        <v>58</v>
      </c>
      <c r="N755" s="22">
        <v>57.9</v>
      </c>
      <c r="O755" s="22">
        <v>35</v>
      </c>
      <c r="P755" s="22">
        <v>47</v>
      </c>
      <c r="Q755" s="22">
        <v>28</v>
      </c>
      <c r="R755" s="22" t="s">
        <v>2314</v>
      </c>
      <c r="S755" s="22" t="s">
        <v>2315</v>
      </c>
      <c r="AJ755" s="175"/>
      <c r="AK755" s="175"/>
      <c r="AL755" s="175"/>
      <c r="AM755" s="175"/>
      <c r="AN755" s="175"/>
      <c r="AO755" s="175"/>
      <c r="AP755" s="175"/>
      <c r="AS755" s="3"/>
      <c r="BD755" s="97"/>
      <c r="EL755" s="3"/>
      <c r="EM755" s="3"/>
    </row>
    <row r="756" spans="9:143">
      <c r="I756" s="22"/>
      <c r="J756" s="156" t="s">
        <v>2316</v>
      </c>
      <c r="K756" s="156" t="s">
        <v>2316</v>
      </c>
      <c r="L756" s="22">
        <v>3</v>
      </c>
      <c r="M756" s="22">
        <v>44</v>
      </c>
      <c r="N756" s="22">
        <v>19.100000000000001</v>
      </c>
      <c r="O756" s="22">
        <v>32</v>
      </c>
      <c r="P756" s="22">
        <v>17</v>
      </c>
      <c r="Q756" s="22">
        <v>18</v>
      </c>
      <c r="R756" s="22" t="s">
        <v>2317</v>
      </c>
      <c r="S756" s="22" t="s">
        <v>2318</v>
      </c>
      <c r="AJ756" s="175"/>
      <c r="AK756" s="175"/>
      <c r="AL756" s="175"/>
      <c r="AM756" s="175"/>
      <c r="AN756" s="175"/>
      <c r="AO756" s="175"/>
      <c r="AP756" s="175"/>
      <c r="AS756" s="3"/>
      <c r="BD756" s="97"/>
      <c r="EL756" s="3"/>
      <c r="EM756" s="3"/>
    </row>
    <row r="757" spans="9:143">
      <c r="I757" s="22"/>
      <c r="J757" s="156" t="s">
        <v>2319</v>
      </c>
      <c r="K757" s="156" t="s">
        <v>2319</v>
      </c>
      <c r="L757" s="22">
        <v>3</v>
      </c>
      <c r="M757" s="22">
        <v>5</v>
      </c>
      <c r="N757" s="22">
        <v>10.6</v>
      </c>
      <c r="O757" s="22">
        <v>38</v>
      </c>
      <c r="P757" s="22">
        <v>50</v>
      </c>
      <c r="Q757" s="22">
        <v>25</v>
      </c>
      <c r="R757" s="22" t="s">
        <v>2320</v>
      </c>
      <c r="S757" s="22" t="s">
        <v>2321</v>
      </c>
      <c r="AJ757" s="175"/>
      <c r="AK757" s="175"/>
      <c r="AL757" s="175"/>
      <c r="AM757" s="175"/>
      <c r="AN757" s="175"/>
      <c r="AO757" s="175"/>
      <c r="AP757" s="175"/>
      <c r="AS757" s="3"/>
      <c r="BD757" s="97"/>
      <c r="EL757" s="3"/>
      <c r="EM757" s="3"/>
    </row>
    <row r="758" spans="9:143">
      <c r="I758" s="22"/>
      <c r="J758" s="156" t="s">
        <v>2322</v>
      </c>
      <c r="K758" s="156" t="s">
        <v>2322</v>
      </c>
      <c r="L758" s="22">
        <v>1</v>
      </c>
      <c r="M758" s="22">
        <v>43</v>
      </c>
      <c r="N758" s="22">
        <v>39.6</v>
      </c>
      <c r="O758" s="22">
        <v>50</v>
      </c>
      <c r="P758" s="22">
        <v>41</v>
      </c>
      <c r="Q758" s="22">
        <v>19</v>
      </c>
      <c r="R758" s="22" t="s">
        <v>2323</v>
      </c>
      <c r="S758" s="22" t="s">
        <v>2324</v>
      </c>
      <c r="AJ758" s="175"/>
      <c r="AK758" s="175"/>
      <c r="AL758" s="175"/>
      <c r="AM758" s="175"/>
      <c r="AN758" s="175"/>
      <c r="AO758" s="175"/>
      <c r="AP758" s="175"/>
      <c r="AS758" s="3"/>
      <c r="BD758" s="97"/>
      <c r="EL758" s="3"/>
      <c r="EM758" s="3"/>
    </row>
    <row r="759" spans="9:143">
      <c r="I759" s="24" t="s">
        <v>2325</v>
      </c>
      <c r="J759" s="157" t="s">
        <v>2326</v>
      </c>
      <c r="K759" s="157" t="s">
        <v>2326</v>
      </c>
      <c r="L759" s="24" t="s">
        <v>39</v>
      </c>
      <c r="M759" s="24" t="s">
        <v>2325</v>
      </c>
      <c r="N759" s="24" t="s">
        <v>2325</v>
      </c>
      <c r="O759" s="24" t="s">
        <v>40</v>
      </c>
      <c r="P759" s="24" t="s">
        <v>2327</v>
      </c>
      <c r="Q759" s="24" t="s">
        <v>2328</v>
      </c>
      <c r="R759" s="24" t="s">
        <v>2329</v>
      </c>
      <c r="S759" s="24" t="s">
        <v>2327</v>
      </c>
      <c r="AJ759" s="175"/>
      <c r="AK759" s="175"/>
      <c r="AL759" s="175"/>
      <c r="AM759" s="175"/>
      <c r="AN759" s="175"/>
      <c r="AO759" s="175"/>
      <c r="AP759" s="175"/>
      <c r="AS759" s="3"/>
      <c r="BD759" s="97"/>
      <c r="EL759" s="3"/>
      <c r="EM759" s="3"/>
    </row>
    <row r="760" spans="9:143">
      <c r="I760" s="22"/>
      <c r="J760" s="156" t="s">
        <v>2330</v>
      </c>
      <c r="K760" s="156" t="s">
        <v>2330</v>
      </c>
      <c r="L760" s="22">
        <v>23</v>
      </c>
      <c r="M760" s="22">
        <v>4</v>
      </c>
      <c r="N760" s="22">
        <v>45.7</v>
      </c>
      <c r="O760" s="22">
        <v>15</v>
      </c>
      <c r="P760" s="22">
        <v>12</v>
      </c>
      <c r="Q760" s="22">
        <v>19</v>
      </c>
      <c r="R760" s="22" t="s">
        <v>2331</v>
      </c>
      <c r="S760" s="22" t="s">
        <v>2332</v>
      </c>
      <c r="AJ760" s="175"/>
      <c r="AK760" s="175"/>
      <c r="AL760" s="175"/>
      <c r="AM760" s="175"/>
      <c r="AN760" s="175"/>
      <c r="AO760" s="175"/>
      <c r="AP760" s="175"/>
      <c r="AS760" s="3"/>
      <c r="BD760" s="97"/>
      <c r="EL760" s="3"/>
      <c r="EM760" s="3"/>
    </row>
    <row r="761" spans="9:143">
      <c r="I761" s="22"/>
      <c r="J761" s="156" t="s">
        <v>2333</v>
      </c>
      <c r="K761" s="156" t="s">
        <v>2333</v>
      </c>
      <c r="L761" s="22">
        <v>23</v>
      </c>
      <c r="M761" s="22">
        <v>3</v>
      </c>
      <c r="N761" s="22">
        <v>46.5</v>
      </c>
      <c r="O761" s="22">
        <v>28</v>
      </c>
      <c r="P761" s="22">
        <v>4</v>
      </c>
      <c r="Q761" s="22">
        <v>58</v>
      </c>
      <c r="R761" s="22" t="s">
        <v>2334</v>
      </c>
      <c r="S761" s="22" t="s">
        <v>2335</v>
      </c>
      <c r="AJ761" s="175"/>
      <c r="AK761" s="175"/>
      <c r="AL761" s="175"/>
      <c r="AM761" s="175"/>
      <c r="AN761" s="175"/>
      <c r="AO761" s="175"/>
      <c r="AP761" s="175"/>
      <c r="AS761" s="3"/>
      <c r="BD761" s="97"/>
      <c r="EL761" s="3"/>
      <c r="EM761" s="3"/>
    </row>
    <row r="762" spans="9:143">
      <c r="I762" s="22"/>
      <c r="J762" s="156" t="s">
        <v>2336</v>
      </c>
      <c r="K762" s="156" t="s">
        <v>2336</v>
      </c>
      <c r="L762" s="22">
        <v>0</v>
      </c>
      <c r="M762" s="22">
        <v>13</v>
      </c>
      <c r="N762" s="22">
        <v>14.2</v>
      </c>
      <c r="O762" s="22">
        <v>15</v>
      </c>
      <c r="P762" s="22">
        <v>11</v>
      </c>
      <c r="Q762" s="22">
        <v>1</v>
      </c>
      <c r="R762" s="22" t="s">
        <v>2337</v>
      </c>
      <c r="S762" s="22" t="s">
        <v>2338</v>
      </c>
      <c r="AJ762" s="175"/>
      <c r="AK762" s="175"/>
      <c r="AL762" s="175"/>
      <c r="AM762" s="175"/>
      <c r="AN762" s="175"/>
      <c r="AO762" s="175"/>
      <c r="AP762" s="175"/>
      <c r="AS762" s="3"/>
      <c r="BD762" s="97"/>
      <c r="EL762" s="3"/>
      <c r="EM762" s="3"/>
    </row>
    <row r="763" spans="9:143">
      <c r="I763" s="22"/>
      <c r="J763" s="156" t="s">
        <v>2339</v>
      </c>
      <c r="K763" s="156" t="s">
        <v>2339</v>
      </c>
      <c r="L763" s="22">
        <v>21</v>
      </c>
      <c r="M763" s="22">
        <v>44</v>
      </c>
      <c r="N763" s="22">
        <v>11.2</v>
      </c>
      <c r="O763" s="22">
        <v>9</v>
      </c>
      <c r="P763" s="22">
        <v>52</v>
      </c>
      <c r="Q763" s="22">
        <v>30</v>
      </c>
      <c r="R763" s="22" t="s">
        <v>2340</v>
      </c>
      <c r="S763" s="22" t="s">
        <v>2341</v>
      </c>
      <c r="AJ763" s="175"/>
      <c r="AK763" s="175"/>
      <c r="AL763" s="175"/>
      <c r="AM763" s="175"/>
      <c r="AN763" s="175"/>
      <c r="AO763" s="175"/>
      <c r="AP763" s="175"/>
      <c r="AS763" s="3"/>
      <c r="BD763" s="97"/>
      <c r="EL763" s="3"/>
      <c r="EM763" s="3"/>
    </row>
    <row r="764" spans="9:143">
      <c r="I764" s="22"/>
      <c r="J764" s="156" t="s">
        <v>2342</v>
      </c>
      <c r="K764" s="156" t="s">
        <v>2342</v>
      </c>
      <c r="L764" s="22">
        <v>22</v>
      </c>
      <c r="M764" s="22">
        <v>41</v>
      </c>
      <c r="N764" s="22">
        <v>27.7</v>
      </c>
      <c r="O764" s="22">
        <v>10</v>
      </c>
      <c r="P764" s="22">
        <v>49</v>
      </c>
      <c r="Q764" s="22">
        <v>53</v>
      </c>
      <c r="R764" s="22" t="s">
        <v>2343</v>
      </c>
      <c r="S764" s="22" t="s">
        <v>2344</v>
      </c>
      <c r="AJ764" s="175"/>
      <c r="AK764" s="175"/>
      <c r="AL764" s="175"/>
      <c r="AM764" s="175"/>
      <c r="AN764" s="175"/>
      <c r="AO764" s="175"/>
      <c r="AP764" s="175"/>
      <c r="AS764" s="3"/>
      <c r="BD764" s="97"/>
      <c r="EL764" s="3"/>
      <c r="EM764" s="3"/>
    </row>
    <row r="765" spans="9:143">
      <c r="I765" s="22"/>
      <c r="J765" s="156" t="s">
        <v>2345</v>
      </c>
      <c r="K765" s="156" t="s">
        <v>2345</v>
      </c>
      <c r="L765" s="22">
        <v>22</v>
      </c>
      <c r="M765" s="22">
        <v>43</v>
      </c>
      <c r="N765" s="22">
        <v>0.1</v>
      </c>
      <c r="O765" s="22">
        <v>30</v>
      </c>
      <c r="P765" s="22">
        <v>13</v>
      </c>
      <c r="Q765" s="22">
        <v>16</v>
      </c>
      <c r="R765" s="22" t="s">
        <v>2346</v>
      </c>
      <c r="S765" s="22" t="s">
        <v>2347</v>
      </c>
      <c r="AJ765" s="175"/>
      <c r="AK765" s="175"/>
      <c r="AL765" s="175"/>
      <c r="AM765" s="175"/>
      <c r="AN765" s="175"/>
      <c r="AO765" s="175"/>
      <c r="AP765" s="175"/>
      <c r="AS765" s="3"/>
      <c r="BD765" s="97"/>
      <c r="EL765" s="3"/>
      <c r="EM765" s="3"/>
    </row>
    <row r="766" spans="9:143">
      <c r="I766" s="22"/>
      <c r="J766" s="156" t="s">
        <v>2348</v>
      </c>
      <c r="K766" s="156" t="s">
        <v>2348</v>
      </c>
      <c r="L766" s="22">
        <v>22</v>
      </c>
      <c r="M766" s="22">
        <v>10</v>
      </c>
      <c r="N766" s="22">
        <v>12</v>
      </c>
      <c r="O766" s="22">
        <v>6</v>
      </c>
      <c r="P766" s="22">
        <v>11</v>
      </c>
      <c r="Q766" s="22">
        <v>52</v>
      </c>
      <c r="R766" s="22" t="s">
        <v>2349</v>
      </c>
      <c r="S766" s="22" t="s">
        <v>2350</v>
      </c>
      <c r="AJ766" s="175"/>
      <c r="AK766" s="175"/>
      <c r="AL766" s="175"/>
      <c r="AM766" s="175"/>
      <c r="AN766" s="175"/>
      <c r="AO766" s="175"/>
      <c r="AP766" s="175"/>
      <c r="AS766" s="3"/>
      <c r="BD766" s="97"/>
      <c r="EL766" s="3"/>
      <c r="EM766" s="3"/>
    </row>
    <row r="767" spans="9:143">
      <c r="I767" s="22"/>
      <c r="J767" s="156" t="s">
        <v>2351</v>
      </c>
      <c r="K767" s="156" t="s">
        <v>2351</v>
      </c>
      <c r="L767" s="22">
        <v>22</v>
      </c>
      <c r="M767" s="22">
        <v>46</v>
      </c>
      <c r="N767" s="22">
        <v>31.9</v>
      </c>
      <c r="O767" s="22">
        <v>23</v>
      </c>
      <c r="P767" s="22">
        <v>33</v>
      </c>
      <c r="Q767" s="22">
        <v>56</v>
      </c>
      <c r="R767" s="22" t="s">
        <v>2352</v>
      </c>
      <c r="S767" s="22" t="s">
        <v>2353</v>
      </c>
      <c r="AJ767" s="175"/>
      <c r="AK767" s="175"/>
      <c r="AL767" s="175"/>
      <c r="AM767" s="175"/>
      <c r="AN767" s="175"/>
      <c r="AO767" s="175"/>
      <c r="AP767" s="175"/>
      <c r="AS767" s="3"/>
      <c r="BD767" s="97"/>
      <c r="EL767" s="3"/>
      <c r="EM767" s="3"/>
    </row>
    <row r="768" spans="9:143">
      <c r="I768" s="22"/>
      <c r="J768" s="156" t="s">
        <v>2354</v>
      </c>
      <c r="K768" s="156" t="s">
        <v>2354</v>
      </c>
      <c r="L768" s="22">
        <v>22</v>
      </c>
      <c r="M768" s="22">
        <v>50</v>
      </c>
      <c r="N768" s="22">
        <v>0.2</v>
      </c>
      <c r="O768" s="22">
        <v>24</v>
      </c>
      <c r="P768" s="22">
        <v>36</v>
      </c>
      <c r="Q768" s="22">
        <v>6</v>
      </c>
      <c r="R768" s="22" t="s">
        <v>2355</v>
      </c>
      <c r="S768" s="22" t="s">
        <v>2356</v>
      </c>
      <c r="AJ768" s="175"/>
      <c r="AK768" s="175"/>
      <c r="AL768" s="175"/>
      <c r="AM768" s="175"/>
      <c r="AN768" s="175"/>
      <c r="AO768" s="175"/>
      <c r="AP768" s="175"/>
      <c r="AS768" s="3"/>
      <c r="BD768" s="97"/>
      <c r="EL768" s="3"/>
      <c r="EM768" s="3"/>
    </row>
    <row r="769" spans="9:143">
      <c r="I769" s="22"/>
      <c r="J769" s="156" t="s">
        <v>2357</v>
      </c>
      <c r="K769" s="156" t="s">
        <v>2357</v>
      </c>
      <c r="L769" s="22">
        <v>22</v>
      </c>
      <c r="M769" s="22">
        <v>9</v>
      </c>
      <c r="N769" s="22">
        <v>59.2</v>
      </c>
      <c r="O769" s="22">
        <v>33</v>
      </c>
      <c r="P769" s="22">
        <v>10</v>
      </c>
      <c r="Q769" s="22">
        <v>42</v>
      </c>
      <c r="R769" s="22" t="s">
        <v>2358</v>
      </c>
      <c r="S769" s="22" t="s">
        <v>2359</v>
      </c>
      <c r="AJ769" s="175"/>
      <c r="AK769" s="175"/>
      <c r="AL769" s="175"/>
      <c r="AM769" s="175"/>
      <c r="AN769" s="175"/>
      <c r="AO769" s="175"/>
      <c r="AP769" s="175"/>
      <c r="AS769" s="3"/>
      <c r="BD769" s="97"/>
      <c r="EL769" s="3"/>
      <c r="EM769" s="3"/>
    </row>
    <row r="770" spans="9:143">
      <c r="I770" s="22"/>
      <c r="J770" s="156" t="s">
        <v>2360</v>
      </c>
      <c r="K770" s="156" t="s">
        <v>2360</v>
      </c>
      <c r="L770" s="22">
        <v>23</v>
      </c>
      <c r="M770" s="22">
        <v>20</v>
      </c>
      <c r="N770" s="22">
        <v>38.200000000000003</v>
      </c>
      <c r="O770" s="22">
        <v>23</v>
      </c>
      <c r="P770" s="22">
        <v>44</v>
      </c>
      <c r="Q770" s="22">
        <v>25</v>
      </c>
      <c r="R770" s="22" t="s">
        <v>2361</v>
      </c>
      <c r="S770" s="22" t="s">
        <v>2362</v>
      </c>
      <c r="AJ770" s="175"/>
      <c r="AK770" s="175"/>
      <c r="AL770" s="175"/>
      <c r="AM770" s="175"/>
      <c r="AN770" s="175"/>
      <c r="AO770" s="175"/>
      <c r="AP770" s="175"/>
      <c r="AS770" s="3"/>
      <c r="BD770" s="97"/>
      <c r="EL770" s="3"/>
      <c r="EM770" s="3"/>
    </row>
    <row r="771" spans="9:143">
      <c r="I771" s="22"/>
      <c r="J771" s="156" t="s">
        <v>2363</v>
      </c>
      <c r="K771" s="156" t="s">
        <v>2363</v>
      </c>
      <c r="L771" s="22">
        <v>23</v>
      </c>
      <c r="M771" s="22">
        <v>25</v>
      </c>
      <c r="N771" s="22">
        <v>22.8</v>
      </c>
      <c r="O771" s="22">
        <v>23</v>
      </c>
      <c r="P771" s="22">
        <v>24</v>
      </c>
      <c r="Q771" s="22">
        <v>15</v>
      </c>
      <c r="R771" s="22" t="s">
        <v>2364</v>
      </c>
      <c r="S771" s="22" t="s">
        <v>2365</v>
      </c>
      <c r="AJ771" s="175"/>
      <c r="AK771" s="175"/>
      <c r="AL771" s="175"/>
      <c r="AM771" s="175"/>
      <c r="AN771" s="175"/>
      <c r="AO771" s="175"/>
      <c r="AP771" s="175"/>
      <c r="AS771" s="3"/>
      <c r="BD771" s="97"/>
      <c r="EL771" s="3"/>
      <c r="EM771" s="3"/>
    </row>
    <row r="772" spans="9:143">
      <c r="I772" s="22"/>
      <c r="J772" s="156" t="s">
        <v>2366</v>
      </c>
      <c r="K772" s="156" t="s">
        <v>2366</v>
      </c>
      <c r="L772" s="22">
        <v>23</v>
      </c>
      <c r="M772" s="22">
        <v>52</v>
      </c>
      <c r="N772" s="22">
        <v>29.3</v>
      </c>
      <c r="O772" s="22">
        <v>19</v>
      </c>
      <c r="P772" s="22">
        <v>7</v>
      </c>
      <c r="Q772" s="22">
        <v>13</v>
      </c>
      <c r="R772" s="22" t="s">
        <v>2367</v>
      </c>
      <c r="S772" s="22" t="s">
        <v>2368</v>
      </c>
      <c r="AJ772" s="175"/>
      <c r="AK772" s="175"/>
      <c r="AL772" s="175"/>
      <c r="AM772" s="175"/>
      <c r="AN772" s="175"/>
      <c r="AO772" s="175"/>
      <c r="AP772" s="175"/>
      <c r="AS772" s="3"/>
      <c r="BD772" s="97"/>
      <c r="EL772" s="3"/>
      <c r="EM772" s="3"/>
    </row>
    <row r="773" spans="9:143">
      <c r="I773" s="22"/>
      <c r="J773" s="156" t="s">
        <v>2369</v>
      </c>
      <c r="K773" s="156" t="s">
        <v>2369</v>
      </c>
      <c r="L773" s="22">
        <v>0</v>
      </c>
      <c r="M773" s="22">
        <v>14</v>
      </c>
      <c r="N773" s="22">
        <v>36.200000000000003</v>
      </c>
      <c r="O773" s="22">
        <v>20</v>
      </c>
      <c r="P773" s="22">
        <v>12</v>
      </c>
      <c r="Q773" s="22">
        <v>24</v>
      </c>
      <c r="R773" s="22" t="s">
        <v>2370</v>
      </c>
      <c r="S773" s="22" t="s">
        <v>2371</v>
      </c>
      <c r="AJ773" s="175"/>
      <c r="AK773" s="175"/>
      <c r="AL773" s="175"/>
      <c r="AM773" s="175"/>
      <c r="AN773" s="175"/>
      <c r="AO773" s="175"/>
      <c r="AP773" s="175"/>
      <c r="AS773" s="3"/>
      <c r="BD773" s="97"/>
      <c r="EL773" s="3"/>
      <c r="EM773" s="3"/>
    </row>
    <row r="774" spans="9:143">
      <c r="I774" s="24" t="s">
        <v>2372</v>
      </c>
      <c r="J774" s="157" t="s">
        <v>2373</v>
      </c>
      <c r="K774" s="157" t="s">
        <v>2373</v>
      </c>
      <c r="L774" s="24" t="s">
        <v>39</v>
      </c>
      <c r="M774" s="24" t="s">
        <v>2372</v>
      </c>
      <c r="N774" s="24" t="s">
        <v>2372</v>
      </c>
      <c r="O774" s="24" t="s">
        <v>40</v>
      </c>
      <c r="P774" s="24" t="s">
        <v>2374</v>
      </c>
      <c r="Q774" s="24" t="s">
        <v>2375</v>
      </c>
      <c r="R774" s="24" t="s">
        <v>2376</v>
      </c>
      <c r="S774" s="24" t="s">
        <v>2374</v>
      </c>
      <c r="AJ774" s="175"/>
      <c r="AK774" s="175"/>
      <c r="AL774" s="175"/>
      <c r="AM774" s="175"/>
      <c r="AN774" s="175"/>
      <c r="AO774" s="175"/>
      <c r="AP774" s="175"/>
      <c r="AS774" s="3"/>
      <c r="BD774" s="97"/>
      <c r="EL774" s="3"/>
      <c r="EM774" s="3"/>
    </row>
    <row r="775" spans="9:143">
      <c r="I775" s="22"/>
      <c r="J775" s="156" t="s">
        <v>2377</v>
      </c>
      <c r="K775" s="156" t="s">
        <v>2377</v>
      </c>
      <c r="L775" s="22">
        <v>5</v>
      </c>
      <c r="M775" s="22">
        <v>39</v>
      </c>
      <c r="N775" s="22">
        <v>38.9</v>
      </c>
      <c r="O775" s="22">
        <v>-34</v>
      </c>
      <c r="P775" s="22">
        <v>-4</v>
      </c>
      <c r="Q775" s="22">
        <v>-27</v>
      </c>
      <c r="R775" s="22" t="s">
        <v>2378</v>
      </c>
      <c r="S775" s="22" t="s">
        <v>2379</v>
      </c>
      <c r="AJ775" s="175"/>
      <c r="AK775" s="175"/>
      <c r="AL775" s="175"/>
      <c r="AM775" s="175"/>
      <c r="AN775" s="175"/>
      <c r="AO775" s="175"/>
      <c r="AP775" s="175"/>
      <c r="AS775" s="3"/>
      <c r="BD775" s="97"/>
      <c r="EL775" s="3"/>
      <c r="EM775" s="3"/>
    </row>
    <row r="776" spans="9:143">
      <c r="I776" s="22"/>
      <c r="J776" s="156" t="s">
        <v>2380</v>
      </c>
      <c r="K776" s="156" t="s">
        <v>2380</v>
      </c>
      <c r="L776" s="22">
        <v>5</v>
      </c>
      <c r="M776" s="22">
        <v>50</v>
      </c>
      <c r="N776" s="22">
        <v>57.6</v>
      </c>
      <c r="O776" s="22">
        <v>-35</v>
      </c>
      <c r="P776" s="22">
        <v>-46</v>
      </c>
      <c r="Q776" s="22">
        <v>-6</v>
      </c>
      <c r="R776" s="22" t="s">
        <v>2381</v>
      </c>
      <c r="S776" s="22" t="s">
        <v>2382</v>
      </c>
      <c r="AJ776" s="175"/>
      <c r="AK776" s="175"/>
      <c r="AL776" s="175"/>
      <c r="AM776" s="175"/>
      <c r="AN776" s="175"/>
      <c r="AO776" s="175"/>
      <c r="AP776" s="175"/>
      <c r="AS776" s="3"/>
      <c r="BD776" s="97"/>
      <c r="EL776" s="3"/>
      <c r="EM776" s="3"/>
    </row>
    <row r="777" spans="9:143">
      <c r="I777" s="22"/>
      <c r="J777" s="156" t="s">
        <v>2383</v>
      </c>
      <c r="K777" s="156" t="s">
        <v>2383</v>
      </c>
      <c r="L777" s="22">
        <v>6</v>
      </c>
      <c r="M777" s="22">
        <v>22</v>
      </c>
      <c r="N777" s="22">
        <v>6.8</v>
      </c>
      <c r="O777" s="22">
        <v>-33</v>
      </c>
      <c r="P777" s="22">
        <v>-26</v>
      </c>
      <c r="Q777" s="22">
        <v>-11</v>
      </c>
      <c r="R777" s="22" t="s">
        <v>2384</v>
      </c>
      <c r="S777" s="22" t="s">
        <v>2385</v>
      </c>
      <c r="AJ777" s="175"/>
      <c r="AK777" s="175"/>
      <c r="AL777" s="175"/>
      <c r="AM777" s="175"/>
      <c r="AN777" s="175"/>
      <c r="AO777" s="175"/>
      <c r="AP777" s="175"/>
      <c r="AS777" s="3"/>
      <c r="BD777" s="97"/>
      <c r="EL777" s="3"/>
      <c r="EM777" s="3"/>
    </row>
    <row r="778" spans="9:143">
      <c r="I778" s="22"/>
      <c r="J778" s="156" t="s">
        <v>2386</v>
      </c>
      <c r="K778" s="156" t="s">
        <v>2386</v>
      </c>
      <c r="L778" s="22">
        <v>5</v>
      </c>
      <c r="M778" s="22">
        <v>31</v>
      </c>
      <c r="N778" s="22">
        <v>12.8</v>
      </c>
      <c r="O778" s="22">
        <v>-35</v>
      </c>
      <c r="P778" s="22">
        <v>-28</v>
      </c>
      <c r="Q778" s="22">
        <v>-14</v>
      </c>
      <c r="R778" s="22" t="s">
        <v>2387</v>
      </c>
      <c r="S778" s="22" t="s">
        <v>2388</v>
      </c>
      <c r="AJ778" s="175"/>
      <c r="AK778" s="175"/>
      <c r="AL778" s="175"/>
      <c r="AM778" s="175"/>
      <c r="AN778" s="175"/>
      <c r="AO778" s="175"/>
      <c r="AP778" s="175"/>
      <c r="AS778" s="3"/>
      <c r="BD778" s="97"/>
      <c r="EL778" s="3"/>
      <c r="EM778" s="3"/>
    </row>
    <row r="779" spans="9:143">
      <c r="I779" s="24" t="s">
        <v>2389</v>
      </c>
      <c r="J779" s="157" t="s">
        <v>2390</v>
      </c>
      <c r="K779" s="157" t="s">
        <v>2390</v>
      </c>
      <c r="L779" s="24" t="s">
        <v>39</v>
      </c>
      <c r="M779" s="24" t="s">
        <v>2389</v>
      </c>
      <c r="N779" s="24" t="s">
        <v>2389</v>
      </c>
      <c r="O779" s="24" t="s">
        <v>40</v>
      </c>
      <c r="P779" s="24" t="s">
        <v>2391</v>
      </c>
      <c r="Q779" s="24" t="s">
        <v>2392</v>
      </c>
      <c r="R779" s="24" t="s">
        <v>2393</v>
      </c>
      <c r="S779" s="24" t="s">
        <v>2391</v>
      </c>
      <c r="AJ779" s="175"/>
      <c r="AK779" s="175"/>
      <c r="AL779" s="175"/>
      <c r="AM779" s="175"/>
      <c r="AN779" s="175"/>
      <c r="AO779" s="175"/>
      <c r="AP779" s="175"/>
      <c r="AS779" s="3"/>
      <c r="BD779" s="97"/>
      <c r="EL779" s="3"/>
      <c r="EM779" s="3"/>
    </row>
    <row r="780" spans="9:143">
      <c r="I780" s="22"/>
      <c r="J780" s="156" t="s">
        <v>2394</v>
      </c>
      <c r="K780" s="156" t="s">
        <v>2394</v>
      </c>
      <c r="L780" s="22">
        <v>7</v>
      </c>
      <c r="M780" s="22">
        <v>49</v>
      </c>
      <c r="N780" s="22">
        <v>17.7</v>
      </c>
      <c r="O780" s="22">
        <v>-24</v>
      </c>
      <c r="P780" s="22">
        <v>-51</v>
      </c>
      <c r="Q780" s="22">
        <v>-35</v>
      </c>
      <c r="R780" s="22" t="s">
        <v>2395</v>
      </c>
      <c r="S780" s="22" t="s">
        <v>2396</v>
      </c>
      <c r="AJ780" s="175"/>
      <c r="AK780" s="175"/>
      <c r="AL780" s="175"/>
      <c r="AM780" s="175"/>
      <c r="AN780" s="175"/>
      <c r="AO780" s="175"/>
      <c r="AP780" s="175"/>
      <c r="AS780" s="3"/>
      <c r="BD780" s="97"/>
      <c r="EL780" s="3"/>
      <c r="EM780" s="3"/>
    </row>
    <row r="781" spans="9:143">
      <c r="I781" s="22"/>
      <c r="J781" s="156" t="s">
        <v>2397</v>
      </c>
      <c r="K781" s="156" t="s">
        <v>2397</v>
      </c>
      <c r="L781" s="22">
        <v>8</v>
      </c>
      <c r="M781" s="22">
        <v>7</v>
      </c>
      <c r="N781" s="22">
        <v>32.6</v>
      </c>
      <c r="O781" s="22">
        <v>-24</v>
      </c>
      <c r="P781" s="22">
        <v>-18</v>
      </c>
      <c r="Q781" s="22">
        <v>-16</v>
      </c>
      <c r="R781" s="22" t="s">
        <v>2398</v>
      </c>
      <c r="S781" s="22" t="s">
        <v>2399</v>
      </c>
      <c r="AJ781" s="175"/>
      <c r="AK781" s="175"/>
      <c r="AL781" s="175"/>
      <c r="AM781" s="175"/>
      <c r="AN781" s="175"/>
      <c r="AO781" s="175"/>
      <c r="AP781" s="175"/>
      <c r="AS781" s="3"/>
      <c r="BD781" s="97"/>
      <c r="EL781" s="3"/>
      <c r="EM781" s="3"/>
    </row>
    <row r="782" spans="9:143">
      <c r="I782" s="24" t="s">
        <v>2400</v>
      </c>
      <c r="J782" s="157" t="s">
        <v>2401</v>
      </c>
      <c r="K782" s="157" t="s">
        <v>2401</v>
      </c>
      <c r="L782" s="24" t="s">
        <v>39</v>
      </c>
      <c r="M782" s="24" t="s">
        <v>2400</v>
      </c>
      <c r="N782" s="24" t="s">
        <v>2400</v>
      </c>
      <c r="O782" s="24" t="s">
        <v>40</v>
      </c>
      <c r="P782" s="24" t="s">
        <v>2402</v>
      </c>
      <c r="Q782" s="24" t="s">
        <v>2403</v>
      </c>
      <c r="R782" s="24" t="s">
        <v>2404</v>
      </c>
      <c r="S782" s="24" t="s">
        <v>2402</v>
      </c>
      <c r="AJ782" s="175"/>
      <c r="AK782" s="175"/>
      <c r="AL782" s="175"/>
      <c r="AM782" s="175"/>
      <c r="AN782" s="175"/>
      <c r="AO782" s="175"/>
      <c r="AP782" s="175"/>
      <c r="AS782" s="3"/>
      <c r="BD782" s="97"/>
      <c r="EL782" s="3"/>
      <c r="EM782" s="3"/>
    </row>
    <row r="783" spans="9:143">
      <c r="I783" s="24" t="s">
        <v>2405</v>
      </c>
      <c r="J783" s="157" t="s">
        <v>2406</v>
      </c>
      <c r="K783" s="157" t="s">
        <v>2406</v>
      </c>
      <c r="L783" s="24" t="s">
        <v>2407</v>
      </c>
      <c r="M783" s="24" t="s">
        <v>2405</v>
      </c>
      <c r="N783" s="24" t="s">
        <v>2405</v>
      </c>
      <c r="O783" s="24" t="s">
        <v>40</v>
      </c>
      <c r="P783" s="24" t="s">
        <v>2408</v>
      </c>
      <c r="Q783" s="24" t="s">
        <v>2409</v>
      </c>
      <c r="R783" s="24" t="s">
        <v>2410</v>
      </c>
      <c r="S783" s="24" t="s">
        <v>2408</v>
      </c>
      <c r="AJ783" s="175"/>
      <c r="AK783" s="175"/>
      <c r="AL783" s="175"/>
      <c r="AM783" s="175"/>
      <c r="AN783" s="175"/>
      <c r="AO783" s="175"/>
      <c r="AP783" s="175"/>
      <c r="AS783" s="3"/>
      <c r="BD783" s="97"/>
      <c r="EL783" s="3"/>
      <c r="EM783" s="3"/>
    </row>
    <row r="784" spans="9:143">
      <c r="I784" s="22"/>
      <c r="J784" s="156" t="s">
        <v>2411</v>
      </c>
      <c r="K784" s="156" t="s">
        <v>2411</v>
      </c>
      <c r="L784" s="22">
        <v>22</v>
      </c>
      <c r="M784" s="22">
        <v>31</v>
      </c>
      <c r="N784" s="22">
        <v>17.5</v>
      </c>
      <c r="O784" s="22">
        <v>50</v>
      </c>
      <c r="P784" s="22">
        <v>16</v>
      </c>
      <c r="Q784" s="22">
        <v>57</v>
      </c>
      <c r="R784" s="22" t="s">
        <v>2412</v>
      </c>
      <c r="S784" s="22" t="s">
        <v>2413</v>
      </c>
      <c r="AJ784" s="175"/>
      <c r="AK784" s="175"/>
      <c r="AL784" s="175"/>
      <c r="AM784" s="175"/>
      <c r="AN784" s="175"/>
      <c r="AO784" s="175"/>
      <c r="AP784" s="175"/>
      <c r="AS784" s="3"/>
      <c r="BD784" s="97"/>
      <c r="EL784" s="3"/>
      <c r="EM784" s="3"/>
    </row>
    <row r="785" spans="9:143">
      <c r="I785" s="22"/>
      <c r="J785" s="156" t="s">
        <v>2414</v>
      </c>
      <c r="K785" s="156" t="s">
        <v>2414</v>
      </c>
      <c r="L785" s="22">
        <v>22</v>
      </c>
      <c r="M785" s="22">
        <v>23</v>
      </c>
      <c r="N785" s="22">
        <v>33.6</v>
      </c>
      <c r="O785" s="22">
        <v>52</v>
      </c>
      <c r="P785" s="22">
        <v>13</v>
      </c>
      <c r="Q785" s="22">
        <v>45</v>
      </c>
      <c r="R785" s="22" t="s">
        <v>2415</v>
      </c>
      <c r="S785" s="22" t="s">
        <v>2416</v>
      </c>
      <c r="AJ785" s="175"/>
      <c r="AK785" s="175"/>
      <c r="AL785" s="175"/>
      <c r="AM785" s="175"/>
      <c r="AN785" s="175"/>
      <c r="AO785" s="175"/>
      <c r="AP785" s="175"/>
      <c r="AS785" s="3"/>
      <c r="BD785" s="97"/>
      <c r="EL785" s="3"/>
      <c r="EM785" s="3"/>
    </row>
    <row r="786" spans="9:143">
      <c r="I786" s="24" t="s">
        <v>2417</v>
      </c>
      <c r="J786" s="157" t="s">
        <v>2418</v>
      </c>
      <c r="K786" s="157" t="s">
        <v>2418</v>
      </c>
      <c r="L786" s="24" t="s">
        <v>39</v>
      </c>
      <c r="M786" s="24" t="s">
        <v>2417</v>
      </c>
      <c r="N786" s="24" t="s">
        <v>2417</v>
      </c>
      <c r="O786" s="24" t="s">
        <v>40</v>
      </c>
      <c r="P786" s="24" t="s">
        <v>2419</v>
      </c>
      <c r="Q786" s="24" t="s">
        <v>2420</v>
      </c>
      <c r="R786" s="24" t="s">
        <v>2421</v>
      </c>
      <c r="S786" s="24" t="s">
        <v>2419</v>
      </c>
      <c r="AJ786" s="175"/>
      <c r="AK786" s="175"/>
      <c r="AL786" s="175"/>
      <c r="AM786" s="175"/>
      <c r="AN786" s="175"/>
      <c r="AO786" s="175"/>
      <c r="AP786" s="175"/>
      <c r="AS786" s="3"/>
      <c r="BD786" s="97"/>
      <c r="EL786" s="3"/>
      <c r="EM786" s="3"/>
    </row>
    <row r="787" spans="9:143">
      <c r="I787" s="22"/>
      <c r="J787" s="156" t="s">
        <v>2422</v>
      </c>
      <c r="K787" s="156" t="s">
        <v>2422</v>
      </c>
      <c r="L787" s="22">
        <v>16</v>
      </c>
      <c r="M787" s="22">
        <v>29</v>
      </c>
      <c r="N787" s="22">
        <v>24.4</v>
      </c>
      <c r="O787" s="22">
        <v>-26</v>
      </c>
      <c r="P787" s="22">
        <v>-25</v>
      </c>
      <c r="Q787" s="22">
        <v>-55</v>
      </c>
      <c r="R787" s="22" t="s">
        <v>2423</v>
      </c>
      <c r="S787" s="23" t="s">
        <v>2424</v>
      </c>
      <c r="AJ787" s="175"/>
      <c r="AK787" s="175"/>
      <c r="AL787" s="175"/>
      <c r="AM787" s="175"/>
      <c r="AN787" s="175"/>
      <c r="AO787" s="175"/>
      <c r="AP787" s="175"/>
      <c r="AS787" s="3"/>
      <c r="BD787" s="97"/>
      <c r="EL787" s="3"/>
      <c r="EM787" s="3"/>
    </row>
    <row r="788" spans="9:143">
      <c r="I788" s="22"/>
      <c r="J788" s="156" t="s">
        <v>2425</v>
      </c>
      <c r="K788" s="156" t="s">
        <v>2425</v>
      </c>
      <c r="L788" s="22">
        <v>16</v>
      </c>
      <c r="M788" s="22">
        <v>5</v>
      </c>
      <c r="N788" s="22">
        <v>26.2</v>
      </c>
      <c r="O788" s="22">
        <v>-19</v>
      </c>
      <c r="P788" s="22">
        <v>-48</v>
      </c>
      <c r="Q788" s="22">
        <v>-19</v>
      </c>
      <c r="R788" s="22" t="s">
        <v>2426</v>
      </c>
      <c r="S788" s="23" t="s">
        <v>2427</v>
      </c>
      <c r="AJ788" s="175"/>
      <c r="AK788" s="175"/>
      <c r="AL788" s="175"/>
      <c r="AM788" s="175"/>
      <c r="AN788" s="175"/>
      <c r="AO788" s="175"/>
      <c r="AP788" s="175"/>
      <c r="AS788" s="3"/>
      <c r="BD788" s="97"/>
      <c r="EL788" s="3"/>
      <c r="EM788" s="3"/>
    </row>
    <row r="789" spans="9:143">
      <c r="I789" s="22"/>
      <c r="J789" s="156" t="s">
        <v>2428</v>
      </c>
      <c r="K789" s="156" t="s">
        <v>2428</v>
      </c>
      <c r="L789" s="22">
        <v>16</v>
      </c>
      <c r="M789" s="22">
        <v>0</v>
      </c>
      <c r="N789" s="22">
        <v>20</v>
      </c>
      <c r="O789" s="22">
        <v>-22</v>
      </c>
      <c r="P789" s="22">
        <v>-37</v>
      </c>
      <c r="Q789" s="22">
        <v>-17</v>
      </c>
      <c r="R789" s="22" t="s">
        <v>2429</v>
      </c>
      <c r="S789" s="23" t="s">
        <v>2430</v>
      </c>
      <c r="AJ789" s="175"/>
      <c r="AK789" s="175"/>
      <c r="AL789" s="175"/>
      <c r="AM789" s="175"/>
      <c r="AN789" s="175"/>
      <c r="AO789" s="175"/>
      <c r="AP789" s="175"/>
      <c r="AS789" s="3"/>
      <c r="BD789" s="97"/>
      <c r="EL789" s="3"/>
      <c r="EM789" s="3"/>
    </row>
    <row r="790" spans="9:143">
      <c r="I790" s="22"/>
      <c r="J790" s="156" t="s">
        <v>2431</v>
      </c>
      <c r="K790" s="156" t="s">
        <v>2431</v>
      </c>
      <c r="L790" s="22">
        <v>16</v>
      </c>
      <c r="M790" s="22">
        <v>50</v>
      </c>
      <c r="N790" s="22">
        <v>9.8000000000000007</v>
      </c>
      <c r="O790" s="22">
        <v>-34</v>
      </c>
      <c r="P790" s="22">
        <v>-17</v>
      </c>
      <c r="Q790" s="22">
        <v>-35</v>
      </c>
      <c r="R790" s="22" t="s">
        <v>2432</v>
      </c>
      <c r="S790" s="23" t="s">
        <v>2433</v>
      </c>
      <c r="AJ790" s="175"/>
      <c r="AK790" s="175"/>
      <c r="AL790" s="175"/>
      <c r="AM790" s="175"/>
      <c r="AN790" s="175"/>
      <c r="AO790" s="175"/>
      <c r="AP790" s="175"/>
      <c r="AS790" s="3"/>
      <c r="BD790" s="97"/>
      <c r="EL790" s="3"/>
      <c r="EM790" s="3"/>
    </row>
    <row r="791" spans="9:143">
      <c r="I791" s="22"/>
      <c r="J791" s="156" t="s">
        <v>2434</v>
      </c>
      <c r="K791" s="156" t="s">
        <v>2434</v>
      </c>
      <c r="L791" s="22">
        <v>16</v>
      </c>
      <c r="M791" s="22">
        <v>54</v>
      </c>
      <c r="N791" s="22">
        <v>33</v>
      </c>
      <c r="O791" s="22">
        <v>-42</v>
      </c>
      <c r="P791" s="22">
        <v>-21</v>
      </c>
      <c r="Q791" s="22">
        <v>-41</v>
      </c>
      <c r="R791" s="22" t="s">
        <v>2435</v>
      </c>
      <c r="S791" s="23" t="s">
        <v>2436</v>
      </c>
      <c r="AJ791" s="175"/>
      <c r="AK791" s="175"/>
      <c r="AL791" s="175"/>
      <c r="AM791" s="175"/>
      <c r="AN791" s="175"/>
      <c r="AO791" s="175"/>
      <c r="AP791" s="175"/>
      <c r="AS791" s="3"/>
      <c r="BD791" s="97"/>
      <c r="EL791" s="3"/>
      <c r="EM791" s="3"/>
    </row>
    <row r="792" spans="9:143">
      <c r="I792" s="22"/>
      <c r="J792" s="156" t="s">
        <v>2437</v>
      </c>
      <c r="K792" s="156" t="s">
        <v>2437</v>
      </c>
      <c r="L792" s="22">
        <v>17</v>
      </c>
      <c r="M792" s="22">
        <v>12</v>
      </c>
      <c r="N792" s="22">
        <v>9.1999999999999993</v>
      </c>
      <c r="O792" s="22">
        <v>-43</v>
      </c>
      <c r="P792" s="22">
        <v>-14</v>
      </c>
      <c r="Q792" s="22">
        <v>-21</v>
      </c>
      <c r="R792" s="22" t="s">
        <v>2438</v>
      </c>
      <c r="S792" s="23" t="s">
        <v>2439</v>
      </c>
      <c r="AJ792" s="175"/>
      <c r="AK792" s="175"/>
      <c r="AL792" s="175"/>
      <c r="AM792" s="175"/>
      <c r="AN792" s="175"/>
      <c r="AO792" s="175"/>
      <c r="AP792" s="175"/>
      <c r="AS792" s="3"/>
      <c r="BD792" s="97"/>
      <c r="EL792" s="3"/>
      <c r="EM792" s="3"/>
    </row>
    <row r="793" spans="9:143">
      <c r="I793" s="22"/>
      <c r="J793" s="156" t="s">
        <v>2440</v>
      </c>
      <c r="K793" s="156" t="s">
        <v>2440</v>
      </c>
      <c r="L793" s="22">
        <v>17</v>
      </c>
      <c r="M793" s="22">
        <v>34</v>
      </c>
      <c r="N793" s="22">
        <v>19.2</v>
      </c>
      <c r="O793" s="22">
        <v>-42</v>
      </c>
      <c r="P793" s="22">
        <v>-59</v>
      </c>
      <c r="Q793" s="22">
        <v>-52</v>
      </c>
      <c r="R793" s="22" t="s">
        <v>2441</v>
      </c>
      <c r="S793" s="23" t="s">
        <v>2442</v>
      </c>
      <c r="V793" s="5"/>
      <c r="W793" s="5"/>
      <c r="X793" s="283" t="s">
        <v>3101</v>
      </c>
      <c r="Y793" s="5"/>
      <c r="Z793" s="342"/>
      <c r="AA793" s="5"/>
      <c r="AB793" s="5"/>
      <c r="AC793" s="5"/>
      <c r="AD793" s="5"/>
      <c r="AE793" s="5"/>
      <c r="AF793" s="5"/>
      <c r="AG793" s="5"/>
      <c r="AJ793" s="175"/>
      <c r="AK793" s="175"/>
      <c r="AL793" s="175"/>
      <c r="AM793" s="175"/>
      <c r="AN793" s="175"/>
      <c r="AO793" s="175"/>
      <c r="AP793" s="175"/>
      <c r="AS793" s="3"/>
      <c r="BD793" s="97"/>
      <c r="EL793" s="3"/>
      <c r="EM793" s="3"/>
    </row>
    <row r="794" spans="9:143">
      <c r="I794" s="22"/>
      <c r="J794" s="156" t="s">
        <v>2443</v>
      </c>
      <c r="K794" s="156" t="s">
        <v>2443</v>
      </c>
      <c r="L794" s="22">
        <v>17</v>
      </c>
      <c r="M794" s="22">
        <v>42</v>
      </c>
      <c r="N794" s="22">
        <v>29.3</v>
      </c>
      <c r="O794" s="22">
        <v>-39</v>
      </c>
      <c r="P794" s="22">
        <v>-1</v>
      </c>
      <c r="Q794" s="22">
        <v>-48</v>
      </c>
      <c r="R794" s="22" t="s">
        <v>2444</v>
      </c>
      <c r="S794" s="23" t="s">
        <v>2445</v>
      </c>
      <c r="AJ794" s="175"/>
      <c r="AK794" s="175"/>
      <c r="AL794" s="175"/>
      <c r="AM794" s="175"/>
      <c r="AN794" s="175"/>
      <c r="AO794" s="175"/>
      <c r="AP794" s="175"/>
      <c r="AS794" s="3"/>
      <c r="BD794" s="97"/>
      <c r="EL794" s="3"/>
      <c r="EM794" s="3"/>
    </row>
    <row r="795" spans="9:143">
      <c r="I795" s="22"/>
      <c r="J795" s="156" t="s">
        <v>2446</v>
      </c>
      <c r="K795" s="156" t="s">
        <v>2446</v>
      </c>
      <c r="L795" s="22">
        <v>17</v>
      </c>
      <c r="M795" s="22">
        <v>33</v>
      </c>
      <c r="N795" s="22">
        <v>36.6</v>
      </c>
      <c r="O795" s="22">
        <v>-37</v>
      </c>
      <c r="P795" s="22">
        <v>-6</v>
      </c>
      <c r="Q795" s="22">
        <v>-14</v>
      </c>
      <c r="R795" s="22" t="s">
        <v>2447</v>
      </c>
      <c r="S795" s="23" t="s">
        <v>2448</v>
      </c>
      <c r="AJ795" s="175"/>
      <c r="AK795" s="175"/>
      <c r="AL795" s="175"/>
      <c r="AM795" s="175"/>
      <c r="AN795" s="175"/>
      <c r="AO795" s="175"/>
      <c r="AP795" s="175"/>
      <c r="AS795" s="3"/>
      <c r="BD795" s="97"/>
      <c r="EL795" s="3"/>
      <c r="EM795" s="3"/>
    </row>
    <row r="796" spans="9:143">
      <c r="I796" s="22"/>
      <c r="J796" s="156" t="s">
        <v>2449</v>
      </c>
      <c r="K796" s="156" t="s">
        <v>2449</v>
      </c>
      <c r="L796" s="22">
        <v>16</v>
      </c>
      <c r="M796" s="22">
        <v>51</v>
      </c>
      <c r="N796" s="22">
        <v>52.2</v>
      </c>
      <c r="O796" s="22">
        <v>-38</v>
      </c>
      <c r="P796" s="22">
        <v>-2</v>
      </c>
      <c r="Q796" s="22">
        <v>-51</v>
      </c>
      <c r="R796" s="22" t="s">
        <v>2450</v>
      </c>
      <c r="S796" s="23" t="s">
        <v>2451</v>
      </c>
      <c r="AI796" s="5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BD796" s="97"/>
      <c r="EL796" s="3"/>
      <c r="EM796" s="3"/>
    </row>
    <row r="797" spans="9:143">
      <c r="I797" s="22"/>
      <c r="J797" s="156" t="s">
        <v>2452</v>
      </c>
      <c r="K797" s="156" t="s">
        <v>2452</v>
      </c>
      <c r="L797" s="22">
        <v>16</v>
      </c>
      <c r="M797" s="22">
        <v>11</v>
      </c>
      <c r="N797" s="22">
        <v>59.7</v>
      </c>
      <c r="O797" s="22">
        <v>-19</v>
      </c>
      <c r="P797" s="22">
        <v>-27</v>
      </c>
      <c r="Q797" s="22">
        <v>-38</v>
      </c>
      <c r="R797" s="22" t="s">
        <v>2453</v>
      </c>
      <c r="S797" s="23" t="s">
        <v>2454</v>
      </c>
      <c r="AJ797" s="175"/>
      <c r="AK797" s="175"/>
      <c r="AL797" s="175"/>
      <c r="AM797" s="175"/>
      <c r="AN797" s="175"/>
      <c r="AO797" s="175"/>
      <c r="AP797" s="175"/>
      <c r="AS797" s="3"/>
      <c r="BD797" s="97"/>
      <c r="EL797" s="3"/>
      <c r="EM797" s="3"/>
    </row>
    <row r="798" spans="9:143">
      <c r="I798" s="22"/>
      <c r="J798" s="156" t="s">
        <v>2455</v>
      </c>
      <c r="K798" s="156" t="s">
        <v>2455</v>
      </c>
      <c r="L798" s="22">
        <v>15</v>
      </c>
      <c r="M798" s="22">
        <v>58</v>
      </c>
      <c r="N798" s="22">
        <v>51.1</v>
      </c>
      <c r="O798" s="22">
        <v>-26</v>
      </c>
      <c r="P798" s="22">
        <v>-6</v>
      </c>
      <c r="Q798" s="22">
        <v>-51</v>
      </c>
      <c r="R798" s="22" t="s">
        <v>2456</v>
      </c>
      <c r="S798" s="23" t="s">
        <v>2457</v>
      </c>
      <c r="AJ798" s="175"/>
      <c r="AK798" s="175"/>
      <c r="AL798" s="175"/>
      <c r="AM798" s="175"/>
      <c r="AN798" s="175"/>
      <c r="AO798" s="175"/>
      <c r="AP798" s="175"/>
      <c r="AS798" s="3"/>
      <c r="BD798" s="97"/>
      <c r="EL798" s="3"/>
      <c r="EM798" s="3"/>
    </row>
    <row r="799" spans="9:143">
      <c r="I799" s="22"/>
      <c r="J799" s="156" t="s">
        <v>2458</v>
      </c>
      <c r="K799" s="156" t="s">
        <v>2458</v>
      </c>
      <c r="L799" s="22">
        <v>16</v>
      </c>
      <c r="M799" s="22">
        <v>21</v>
      </c>
      <c r="N799" s="22">
        <v>11.3</v>
      </c>
      <c r="O799" s="22">
        <v>-25</v>
      </c>
      <c r="P799" s="22">
        <v>-35</v>
      </c>
      <c r="Q799" s="22">
        <v>-34</v>
      </c>
      <c r="R799" s="22" t="s">
        <v>2459</v>
      </c>
      <c r="S799" s="23" t="s">
        <v>2460</v>
      </c>
      <c r="AJ799" s="175"/>
      <c r="AK799" s="175"/>
      <c r="AL799" s="175"/>
      <c r="AM799" s="175"/>
      <c r="AN799" s="175"/>
      <c r="AO799" s="175"/>
      <c r="AP799" s="175"/>
      <c r="AS799" s="3"/>
      <c r="BD799" s="97"/>
      <c r="EL799" s="3"/>
      <c r="EM799" s="3"/>
    </row>
    <row r="800" spans="9:143">
      <c r="I800" s="22"/>
      <c r="J800" s="156" t="s">
        <v>2461</v>
      </c>
      <c r="K800" s="156" t="s">
        <v>2461</v>
      </c>
      <c r="L800" s="22">
        <v>16</v>
      </c>
      <c r="M800" s="22">
        <v>35</v>
      </c>
      <c r="N800" s="22">
        <v>53</v>
      </c>
      <c r="O800" s="22">
        <v>-28</v>
      </c>
      <c r="P800" s="22">
        <v>-12</v>
      </c>
      <c r="Q800" s="22">
        <v>-58</v>
      </c>
      <c r="R800" s="22" t="s">
        <v>2462</v>
      </c>
      <c r="S800" s="23" t="s">
        <v>2463</v>
      </c>
      <c r="AJ800" s="175"/>
      <c r="AK800" s="175"/>
      <c r="AL800" s="175"/>
      <c r="AM800" s="175"/>
      <c r="AN800" s="175"/>
      <c r="AO800" s="175"/>
      <c r="AP800" s="175"/>
      <c r="AS800" s="3"/>
      <c r="BD800" s="97"/>
      <c r="EL800" s="3"/>
      <c r="EM800" s="3"/>
    </row>
    <row r="801" spans="9:143">
      <c r="I801" s="22"/>
      <c r="J801" s="156" t="s">
        <v>2464</v>
      </c>
      <c r="K801" s="156" t="s">
        <v>2464</v>
      </c>
      <c r="L801" s="22">
        <v>17</v>
      </c>
      <c r="M801" s="22">
        <v>30</v>
      </c>
      <c r="N801" s="22">
        <v>45.8</v>
      </c>
      <c r="O801" s="22">
        <v>-37</v>
      </c>
      <c r="P801" s="22">
        <v>-17</v>
      </c>
      <c r="Q801" s="22">
        <v>-45</v>
      </c>
      <c r="R801" s="22" t="s">
        <v>2465</v>
      </c>
      <c r="S801" s="23" t="s">
        <v>2466</v>
      </c>
      <c r="AJ801" s="175"/>
      <c r="AK801" s="175"/>
      <c r="AL801" s="175"/>
      <c r="AM801" s="175"/>
      <c r="AN801" s="175"/>
      <c r="AO801" s="175"/>
      <c r="AP801" s="175"/>
      <c r="AS801" s="3"/>
      <c r="BD801" s="97"/>
      <c r="EL801" s="3"/>
      <c r="EM801" s="3"/>
    </row>
    <row r="802" spans="9:143">
      <c r="I802" s="24" t="s">
        <v>2467</v>
      </c>
      <c r="J802" s="157" t="s">
        <v>2468</v>
      </c>
      <c r="K802" s="157" t="s">
        <v>2468</v>
      </c>
      <c r="L802" s="24" t="s">
        <v>39</v>
      </c>
      <c r="M802" s="24" t="s">
        <v>2469</v>
      </c>
      <c r="N802" s="24" t="s">
        <v>2470</v>
      </c>
      <c r="O802" s="24" t="s">
        <v>2471</v>
      </c>
      <c r="P802" s="24" t="s">
        <v>2472</v>
      </c>
      <c r="Q802" s="24" t="s">
        <v>2473</v>
      </c>
      <c r="R802" s="24" t="s">
        <v>2474</v>
      </c>
      <c r="S802" s="27" t="s">
        <v>2475</v>
      </c>
      <c r="AJ802" s="175"/>
      <c r="AK802" s="175"/>
      <c r="AL802" s="175"/>
      <c r="AM802" s="175"/>
      <c r="AN802" s="175"/>
      <c r="AO802" s="175"/>
      <c r="AP802" s="175"/>
      <c r="AS802" s="3"/>
      <c r="BD802" s="97"/>
      <c r="EL802" s="3"/>
      <c r="EM802" s="3"/>
    </row>
    <row r="803" spans="9:143">
      <c r="I803" s="22"/>
      <c r="J803" s="156" t="s">
        <v>2476</v>
      </c>
      <c r="K803" s="156" t="s">
        <v>2476</v>
      </c>
      <c r="L803" s="22">
        <v>15</v>
      </c>
      <c r="M803" s="22">
        <v>34</v>
      </c>
      <c r="N803" s="22">
        <v>41.3</v>
      </c>
      <c r="O803" s="22">
        <v>26</v>
      </c>
      <c r="P803" s="22">
        <v>42</v>
      </c>
      <c r="Q803" s="22">
        <v>53</v>
      </c>
      <c r="R803" s="22" t="s">
        <v>2477</v>
      </c>
      <c r="S803" s="23" t="s">
        <v>2478</v>
      </c>
      <c r="AJ803" s="175"/>
      <c r="AK803" s="175"/>
      <c r="AL803" s="175"/>
      <c r="AM803" s="175"/>
      <c r="AN803" s="175"/>
      <c r="AO803" s="175"/>
      <c r="AP803" s="175"/>
      <c r="AS803" s="3"/>
      <c r="BD803" s="97"/>
      <c r="EL803" s="3"/>
      <c r="EM803" s="3"/>
    </row>
    <row r="804" spans="9:143">
      <c r="I804" s="22"/>
      <c r="J804" s="156" t="s">
        <v>2479</v>
      </c>
      <c r="K804" s="156" t="s">
        <v>2479</v>
      </c>
      <c r="L804" s="22">
        <v>15</v>
      </c>
      <c r="M804" s="22">
        <v>27</v>
      </c>
      <c r="N804" s="22">
        <v>49.7</v>
      </c>
      <c r="O804" s="22">
        <v>29</v>
      </c>
      <c r="P804" s="22">
        <v>6</v>
      </c>
      <c r="Q804" s="22">
        <v>21</v>
      </c>
      <c r="R804" s="22" t="s">
        <v>2480</v>
      </c>
      <c r="S804" s="23" t="s">
        <v>2481</v>
      </c>
      <c r="AJ804" s="175"/>
      <c r="AK804" s="175"/>
      <c r="AL804" s="175"/>
      <c r="AM804" s="175"/>
      <c r="AN804" s="175"/>
      <c r="AO804" s="175"/>
      <c r="AP804" s="175"/>
      <c r="AS804" s="3"/>
      <c r="BD804" s="97"/>
      <c r="EL804" s="3"/>
      <c r="EM804" s="3"/>
    </row>
    <row r="805" spans="9:143">
      <c r="I805" s="22"/>
      <c r="J805" s="156" t="s">
        <v>2482</v>
      </c>
      <c r="K805" s="156" t="s">
        <v>2482</v>
      </c>
      <c r="L805" s="22">
        <v>15</v>
      </c>
      <c r="M805" s="22">
        <v>42</v>
      </c>
      <c r="N805" s="22">
        <v>44.6</v>
      </c>
      <c r="O805" s="22">
        <v>26</v>
      </c>
      <c r="P805" s="22">
        <v>17</v>
      </c>
      <c r="Q805" s="22">
        <v>44</v>
      </c>
      <c r="R805" s="22" t="s">
        <v>2483</v>
      </c>
      <c r="S805" s="23" t="s">
        <v>2484</v>
      </c>
      <c r="AJ805" s="175"/>
      <c r="AK805" s="175"/>
      <c r="AL805" s="175"/>
      <c r="AM805" s="175"/>
      <c r="AN805" s="175"/>
      <c r="AO805" s="175"/>
      <c r="AP805" s="175"/>
      <c r="AS805" s="3"/>
      <c r="BD805" s="97"/>
      <c r="EL805" s="3"/>
      <c r="EM805" s="3"/>
    </row>
    <row r="806" spans="9:143">
      <c r="I806" s="22"/>
      <c r="J806" s="156" t="s">
        <v>2485</v>
      </c>
      <c r="K806" s="156" t="s">
        <v>2485</v>
      </c>
      <c r="L806" s="22">
        <v>15</v>
      </c>
      <c r="M806" s="22">
        <v>49</v>
      </c>
      <c r="N806" s="22">
        <v>35.6</v>
      </c>
      <c r="O806" s="22">
        <v>26</v>
      </c>
      <c r="P806" s="22">
        <v>4</v>
      </c>
      <c r="Q806" s="22">
        <v>6</v>
      </c>
      <c r="R806" s="22" t="s">
        <v>2486</v>
      </c>
      <c r="S806" s="23" t="s">
        <v>2487</v>
      </c>
      <c r="AJ806" s="175"/>
      <c r="AK806" s="175"/>
      <c r="AL806" s="175"/>
      <c r="AM806" s="175"/>
      <c r="AN806" s="175"/>
      <c r="AO806" s="175"/>
      <c r="AP806" s="175"/>
      <c r="AS806" s="3"/>
      <c r="BD806" s="97"/>
      <c r="EL806" s="3"/>
      <c r="EM806" s="3"/>
    </row>
    <row r="807" spans="9:143">
      <c r="I807" s="22"/>
      <c r="J807" s="156" t="s">
        <v>2488</v>
      </c>
      <c r="K807" s="156" t="s">
        <v>2488</v>
      </c>
      <c r="L807" s="22">
        <v>15</v>
      </c>
      <c r="M807" s="22">
        <v>57</v>
      </c>
      <c r="N807" s="22">
        <v>35.299999999999997</v>
      </c>
      <c r="O807" s="22">
        <v>26</v>
      </c>
      <c r="P807" s="22">
        <v>52</v>
      </c>
      <c r="Q807" s="22">
        <v>40</v>
      </c>
      <c r="R807" s="22" t="s">
        <v>2489</v>
      </c>
      <c r="S807" s="23" t="s">
        <v>2490</v>
      </c>
      <c r="AJ807" s="175"/>
      <c r="AK807" s="175"/>
      <c r="AL807" s="175"/>
      <c r="AM807" s="175"/>
      <c r="AN807" s="175"/>
      <c r="AO807" s="175"/>
      <c r="AP807" s="175"/>
      <c r="AS807" s="3"/>
      <c r="BD807" s="97"/>
      <c r="EL807" s="3"/>
      <c r="EM807" s="3"/>
    </row>
    <row r="808" spans="9:143">
      <c r="I808" s="22"/>
      <c r="J808" s="156" t="s">
        <v>2491</v>
      </c>
      <c r="K808" s="156" t="s">
        <v>2491</v>
      </c>
      <c r="L808" s="22">
        <v>15</v>
      </c>
      <c r="M808" s="22">
        <v>39</v>
      </c>
      <c r="N808" s="22">
        <v>22.2</v>
      </c>
      <c r="O808" s="22">
        <v>36</v>
      </c>
      <c r="P808" s="22">
        <v>38</v>
      </c>
      <c r="Q808" s="22">
        <v>13</v>
      </c>
      <c r="R808" s="22" t="s">
        <v>2492</v>
      </c>
      <c r="S808" s="23" t="s">
        <v>2493</v>
      </c>
      <c r="AJ808" s="175"/>
      <c r="AK808" s="175"/>
      <c r="AL808" s="175"/>
      <c r="AM808" s="175"/>
      <c r="AN808" s="175"/>
      <c r="AO808" s="175"/>
      <c r="AP808" s="175"/>
      <c r="AS808" s="3"/>
      <c r="BD808" s="97"/>
      <c r="EL808" s="3"/>
      <c r="EM808" s="3"/>
    </row>
    <row r="809" spans="9:143">
      <c r="I809" s="22"/>
      <c r="J809" s="156" t="s">
        <v>2494</v>
      </c>
      <c r="K809" s="156" t="s">
        <v>2494</v>
      </c>
      <c r="L809" s="22">
        <v>16</v>
      </c>
      <c r="M809" s="22">
        <v>1</v>
      </c>
      <c r="N809" s="22">
        <v>26.6</v>
      </c>
      <c r="O809" s="22">
        <v>29</v>
      </c>
      <c r="P809" s="22">
        <v>51</v>
      </c>
      <c r="Q809" s="22">
        <v>4</v>
      </c>
      <c r="R809" s="22" t="s">
        <v>2495</v>
      </c>
      <c r="S809" s="23" t="s">
        <v>2496</v>
      </c>
      <c r="AJ809" s="175"/>
      <c r="AK809" s="175"/>
      <c r="AL809" s="175"/>
      <c r="AM809" s="175"/>
      <c r="AN809" s="175"/>
      <c r="AO809" s="175"/>
      <c r="AP809" s="175"/>
      <c r="AS809" s="3"/>
      <c r="BD809" s="97"/>
      <c r="EL809" s="3"/>
      <c r="EM809" s="3"/>
    </row>
    <row r="810" spans="9:143">
      <c r="I810" s="22"/>
      <c r="J810" s="156" t="s">
        <v>2497</v>
      </c>
      <c r="K810" s="156" t="s">
        <v>2497</v>
      </c>
      <c r="L810" s="22">
        <v>15</v>
      </c>
      <c r="M810" s="22">
        <v>51</v>
      </c>
      <c r="N810" s="22">
        <v>13.9</v>
      </c>
      <c r="O810" s="22">
        <v>35</v>
      </c>
      <c r="P810" s="22">
        <v>39</v>
      </c>
      <c r="Q810" s="22">
        <v>27</v>
      </c>
      <c r="R810" s="22" t="s">
        <v>2498</v>
      </c>
      <c r="S810" s="23" t="s">
        <v>2499</v>
      </c>
      <c r="AJ810" s="175"/>
      <c r="AK810" s="175"/>
      <c r="AL810" s="175"/>
      <c r="AM810" s="175"/>
      <c r="AN810" s="175"/>
      <c r="AO810" s="175"/>
      <c r="AP810" s="175"/>
      <c r="AS810" s="3"/>
      <c r="BD810" s="97"/>
      <c r="EL810" s="3"/>
      <c r="EM810" s="3"/>
    </row>
    <row r="811" spans="9:143">
      <c r="I811" s="22"/>
      <c r="J811" s="156" t="s">
        <v>2500</v>
      </c>
      <c r="K811" s="156" t="s">
        <v>2500</v>
      </c>
      <c r="L811" s="22">
        <v>15</v>
      </c>
      <c r="M811" s="22">
        <v>43</v>
      </c>
      <c r="N811" s="22">
        <v>59.3</v>
      </c>
      <c r="O811" s="22">
        <v>32</v>
      </c>
      <c r="P811" s="22">
        <v>30</v>
      </c>
      <c r="Q811" s="22">
        <v>57</v>
      </c>
      <c r="R811" s="22" t="s">
        <v>2501</v>
      </c>
      <c r="S811" s="23" t="s">
        <v>2502</v>
      </c>
      <c r="AJ811" s="175"/>
      <c r="AK811" s="175"/>
      <c r="AL811" s="175"/>
      <c r="AM811" s="175"/>
      <c r="AN811" s="175"/>
      <c r="AO811" s="175"/>
      <c r="AP811" s="175"/>
      <c r="AS811" s="3"/>
      <c r="BD811" s="97"/>
      <c r="EL811" s="3"/>
      <c r="EM811" s="3"/>
    </row>
    <row r="812" spans="9:143">
      <c r="I812" s="22"/>
      <c r="J812" s="156" t="s">
        <v>2503</v>
      </c>
      <c r="K812" s="156" t="s">
        <v>2503</v>
      </c>
      <c r="L812" s="22">
        <v>16</v>
      </c>
      <c r="M812" s="22">
        <v>14</v>
      </c>
      <c r="N812" s="22">
        <v>40.9</v>
      </c>
      <c r="O812" s="22">
        <v>33</v>
      </c>
      <c r="P812" s="22">
        <v>51</v>
      </c>
      <c r="Q812" s="22">
        <v>31</v>
      </c>
      <c r="R812" s="22" t="s">
        <v>2504</v>
      </c>
      <c r="S812" s="23" t="s">
        <v>2505</v>
      </c>
      <c r="AJ812" s="175"/>
      <c r="AK812" s="175"/>
      <c r="AL812" s="175"/>
      <c r="AM812" s="175"/>
      <c r="AN812" s="175"/>
      <c r="AO812" s="175"/>
      <c r="AP812" s="175"/>
      <c r="AS812" s="3"/>
      <c r="BD812" s="97"/>
      <c r="EL812" s="3"/>
      <c r="EM812" s="3"/>
    </row>
    <row r="813" spans="9:143">
      <c r="I813" s="24" t="s">
        <v>2506</v>
      </c>
      <c r="J813" s="157" t="s">
        <v>2507</v>
      </c>
      <c r="K813" s="157" t="s">
        <v>2507</v>
      </c>
      <c r="L813" s="24" t="s">
        <v>39</v>
      </c>
      <c r="M813" s="24" t="s">
        <v>723</v>
      </c>
      <c r="N813" s="24" t="s">
        <v>2470</v>
      </c>
      <c r="O813" s="24" t="s">
        <v>2508</v>
      </c>
      <c r="P813" s="24" t="s">
        <v>2509</v>
      </c>
      <c r="Q813" s="24" t="s">
        <v>2510</v>
      </c>
      <c r="R813" s="24" t="s">
        <v>2511</v>
      </c>
      <c r="S813" s="27" t="s">
        <v>2512</v>
      </c>
      <c r="AJ813" s="175"/>
      <c r="AK813" s="175"/>
      <c r="AL813" s="175"/>
      <c r="AM813" s="175"/>
      <c r="AN813" s="175"/>
      <c r="AO813" s="175"/>
      <c r="AP813" s="175"/>
      <c r="AS813" s="3"/>
      <c r="BD813" s="97"/>
      <c r="EL813" s="3"/>
      <c r="EM813" s="3"/>
    </row>
    <row r="814" spans="9:143">
      <c r="I814" s="22"/>
      <c r="J814" s="156" t="s">
        <v>2513</v>
      </c>
      <c r="K814" s="156" t="s">
        <v>2513</v>
      </c>
      <c r="L814" s="22">
        <v>19</v>
      </c>
      <c r="M814" s="22">
        <v>9</v>
      </c>
      <c r="N814" s="22">
        <v>28.3</v>
      </c>
      <c r="O814" s="22">
        <v>-37</v>
      </c>
      <c r="P814" s="22">
        <v>-54</v>
      </c>
      <c r="Q814" s="22">
        <v>-16</v>
      </c>
      <c r="R814" s="22" t="s">
        <v>2514</v>
      </c>
      <c r="S814" s="23" t="s">
        <v>2515</v>
      </c>
      <c r="AJ814" s="175"/>
      <c r="AK814" s="175"/>
      <c r="AL814" s="175"/>
      <c r="AM814" s="175"/>
      <c r="AN814" s="175"/>
      <c r="AO814" s="175"/>
      <c r="AP814" s="175"/>
      <c r="AS814" s="3"/>
      <c r="BD814" s="97"/>
      <c r="EL814" s="3"/>
      <c r="EM814" s="3"/>
    </row>
    <row r="815" spans="9:143">
      <c r="I815" s="22"/>
      <c r="J815" s="156" t="s">
        <v>2516</v>
      </c>
      <c r="K815" s="156" t="s">
        <v>2516</v>
      </c>
      <c r="L815" s="22">
        <v>19</v>
      </c>
      <c r="M815" s="22">
        <v>10</v>
      </c>
      <c r="N815" s="22">
        <v>1.8</v>
      </c>
      <c r="O815" s="22">
        <v>-39</v>
      </c>
      <c r="P815" s="22">
        <v>-20</v>
      </c>
      <c r="Q815" s="22">
        <v>-27</v>
      </c>
      <c r="R815" s="22" t="s">
        <v>2517</v>
      </c>
      <c r="S815" s="23" t="s">
        <v>2518</v>
      </c>
      <c r="AJ815" s="175"/>
      <c r="AK815" s="175"/>
      <c r="AL815" s="175"/>
      <c r="AM815" s="175"/>
      <c r="AN815" s="175"/>
      <c r="AO815" s="175"/>
      <c r="AP815" s="175"/>
      <c r="AS815" s="3"/>
      <c r="BD815" s="97"/>
      <c r="EL815" s="3"/>
      <c r="EM815" s="3"/>
    </row>
    <row r="816" spans="9:143">
      <c r="I816" s="22"/>
      <c r="J816" s="156" t="s">
        <v>2519</v>
      </c>
      <c r="K816" s="156" t="s">
        <v>2519</v>
      </c>
      <c r="L816" s="22">
        <v>19</v>
      </c>
      <c r="M816" s="22">
        <v>6</v>
      </c>
      <c r="N816" s="22">
        <v>25.1</v>
      </c>
      <c r="O816" s="22">
        <v>-37</v>
      </c>
      <c r="P816" s="22">
        <v>-3</v>
      </c>
      <c r="Q816" s="22">
        <v>-48</v>
      </c>
      <c r="R816" s="22" t="s">
        <v>2520</v>
      </c>
      <c r="S816" s="23" t="s">
        <v>2521</v>
      </c>
      <c r="AJ816" s="175"/>
      <c r="AK816" s="175"/>
      <c r="AL816" s="175"/>
      <c r="AM816" s="175"/>
      <c r="AN816" s="175"/>
      <c r="AO816" s="175"/>
      <c r="AP816" s="175"/>
      <c r="AS816" s="3"/>
      <c r="BD816" s="97"/>
      <c r="EL816" s="3"/>
      <c r="EM816" s="3"/>
    </row>
    <row r="817" spans="9:143">
      <c r="I817" s="24" t="s">
        <v>2522</v>
      </c>
      <c r="J817" s="157" t="s">
        <v>2523</v>
      </c>
      <c r="K817" s="157" t="s">
        <v>2523</v>
      </c>
      <c r="L817" s="24" t="s">
        <v>39</v>
      </c>
      <c r="M817" s="24" t="s">
        <v>2522</v>
      </c>
      <c r="N817" s="24" t="s">
        <v>2522</v>
      </c>
      <c r="O817" s="24" t="s">
        <v>40</v>
      </c>
      <c r="P817" s="24" t="s">
        <v>2524</v>
      </c>
      <c r="Q817" s="24" t="s">
        <v>2525</v>
      </c>
      <c r="R817" s="24" t="s">
        <v>2526</v>
      </c>
      <c r="S817" s="24" t="s">
        <v>2524</v>
      </c>
      <c r="AJ817" s="175"/>
      <c r="AK817" s="175"/>
      <c r="AL817" s="175"/>
      <c r="AM817" s="175"/>
      <c r="AN817" s="175"/>
      <c r="AO817" s="175"/>
      <c r="AP817" s="175"/>
      <c r="AS817" s="3"/>
      <c r="BD817" s="97"/>
      <c r="EL817" s="3"/>
      <c r="EM817" s="3"/>
    </row>
    <row r="818" spans="9:143">
      <c r="I818" s="22"/>
      <c r="J818" s="156" t="s">
        <v>2527</v>
      </c>
      <c r="K818" s="156" t="s">
        <v>2527</v>
      </c>
      <c r="L818" s="22">
        <v>4</v>
      </c>
      <c r="M818" s="22">
        <v>35</v>
      </c>
      <c r="N818" s="22">
        <v>55.2</v>
      </c>
      <c r="O818" s="22">
        <v>16</v>
      </c>
      <c r="P818" s="22">
        <v>30</v>
      </c>
      <c r="Q818" s="22">
        <v>33</v>
      </c>
      <c r="R818" s="22" t="s">
        <v>2528</v>
      </c>
      <c r="S818" s="22" t="s">
        <v>2529</v>
      </c>
      <c r="AJ818" s="175"/>
      <c r="AK818" s="175"/>
      <c r="AL818" s="175"/>
      <c r="AM818" s="175"/>
      <c r="AN818" s="175"/>
      <c r="AO818" s="175"/>
      <c r="AP818" s="175"/>
      <c r="AS818" s="3"/>
      <c r="BD818" s="97"/>
      <c r="EL818" s="3"/>
      <c r="EM818" s="3"/>
    </row>
    <row r="819" spans="9:143">
      <c r="I819" s="22"/>
      <c r="J819" s="156" t="s">
        <v>2530</v>
      </c>
      <c r="K819" s="156" t="s">
        <v>2530</v>
      </c>
      <c r="L819" s="22">
        <v>5</v>
      </c>
      <c r="M819" s="22">
        <v>26</v>
      </c>
      <c r="N819" s="22">
        <v>17.5</v>
      </c>
      <c r="O819" s="22">
        <v>28</v>
      </c>
      <c r="P819" s="22">
        <v>38</v>
      </c>
      <c r="Q819" s="22">
        <v>27</v>
      </c>
      <c r="R819" s="22" t="s">
        <v>2531</v>
      </c>
      <c r="S819" s="22" t="s">
        <v>2532</v>
      </c>
      <c r="AJ819" s="175"/>
      <c r="AK819" s="175"/>
      <c r="AL819" s="175"/>
      <c r="AM819" s="175"/>
      <c r="AN819" s="175"/>
      <c r="AO819" s="175"/>
      <c r="AP819" s="175"/>
      <c r="AS819" s="3"/>
      <c r="BD819" s="97"/>
      <c r="EL819" s="3"/>
      <c r="EM819" s="3"/>
    </row>
    <row r="820" spans="9:143">
      <c r="I820" s="22"/>
      <c r="J820" s="156" t="s">
        <v>2533</v>
      </c>
      <c r="K820" s="156" t="s">
        <v>2533</v>
      </c>
      <c r="L820" s="22">
        <v>5</v>
      </c>
      <c r="M820" s="22">
        <v>37</v>
      </c>
      <c r="N820" s="22">
        <v>38.700000000000003</v>
      </c>
      <c r="O820" s="22">
        <v>21</v>
      </c>
      <c r="P820" s="22">
        <v>8</v>
      </c>
      <c r="Q820" s="22">
        <v>33</v>
      </c>
      <c r="R820" s="22" t="s">
        <v>2534</v>
      </c>
      <c r="S820" s="22" t="s">
        <v>2535</v>
      </c>
      <c r="AJ820" s="175"/>
      <c r="AK820" s="175"/>
      <c r="AL820" s="175"/>
      <c r="AM820" s="175"/>
      <c r="AN820" s="175"/>
      <c r="AO820" s="175"/>
      <c r="AP820" s="175"/>
      <c r="AS820" s="3"/>
      <c r="BD820" s="97"/>
      <c r="EL820" s="3"/>
      <c r="EM820" s="3"/>
    </row>
    <row r="821" spans="9:143">
      <c r="I821" s="22"/>
      <c r="J821" s="156" t="s">
        <v>2536</v>
      </c>
      <c r="K821" s="156" t="s">
        <v>2536</v>
      </c>
      <c r="L821" s="22">
        <v>3</v>
      </c>
      <c r="M821" s="22">
        <v>47</v>
      </c>
      <c r="N821" s="22">
        <v>29.08</v>
      </c>
      <c r="O821" s="22">
        <v>24</v>
      </c>
      <c r="P821" s="22">
        <v>6</v>
      </c>
      <c r="Q821" s="22">
        <v>18</v>
      </c>
      <c r="R821" s="22" t="s">
        <v>2537</v>
      </c>
      <c r="S821" s="22" t="s">
        <v>2538</v>
      </c>
      <c r="AJ821" s="175"/>
      <c r="AK821" s="175"/>
      <c r="AL821" s="175"/>
      <c r="AM821" s="175"/>
      <c r="AN821" s="175"/>
      <c r="AO821" s="175"/>
      <c r="AP821" s="175"/>
      <c r="AS821" s="3"/>
      <c r="BD821" s="97"/>
      <c r="EL821" s="3"/>
      <c r="EM821" s="3"/>
    </row>
    <row r="822" spans="9:143">
      <c r="I822" s="22"/>
      <c r="J822" s="156" t="s">
        <v>2539</v>
      </c>
      <c r="K822" s="156" t="s">
        <v>2539</v>
      </c>
      <c r="L822" s="22">
        <v>4</v>
      </c>
      <c r="M822" s="22">
        <v>0</v>
      </c>
      <c r="N822" s="22">
        <v>40.799999999999997</v>
      </c>
      <c r="O822" s="22">
        <v>12</v>
      </c>
      <c r="P822" s="22">
        <v>29</v>
      </c>
      <c r="Q822" s="22">
        <v>25</v>
      </c>
      <c r="R822" s="22" t="s">
        <v>2540</v>
      </c>
      <c r="S822" s="22" t="s">
        <v>2541</v>
      </c>
      <c r="AJ822" s="175"/>
      <c r="AK822" s="175"/>
      <c r="AL822" s="175"/>
      <c r="AM822" s="175"/>
      <c r="AN822" s="175"/>
      <c r="AO822" s="175"/>
      <c r="AP822" s="175"/>
      <c r="AS822" s="3"/>
      <c r="BD822" s="97"/>
      <c r="EL822" s="3"/>
      <c r="EM822" s="3"/>
    </row>
    <row r="823" spans="9:143">
      <c r="I823" s="24" t="s">
        <v>2542</v>
      </c>
      <c r="J823" s="157" t="s">
        <v>2543</v>
      </c>
      <c r="K823" s="157" t="s">
        <v>2543</v>
      </c>
      <c r="L823" s="24" t="s">
        <v>39</v>
      </c>
      <c r="M823" s="24" t="s">
        <v>2542</v>
      </c>
      <c r="N823" s="24" t="s">
        <v>2542</v>
      </c>
      <c r="O823" s="24" t="s">
        <v>40</v>
      </c>
      <c r="P823" s="24" t="s">
        <v>2544</v>
      </c>
      <c r="Q823" s="24" t="s">
        <v>2545</v>
      </c>
      <c r="R823" s="24" t="s">
        <v>2546</v>
      </c>
      <c r="S823" s="24" t="s">
        <v>2544</v>
      </c>
      <c r="AJ823" s="175"/>
      <c r="AK823" s="175"/>
      <c r="AL823" s="175"/>
      <c r="AM823" s="175"/>
      <c r="AN823" s="175"/>
      <c r="AO823" s="175"/>
      <c r="AP823" s="175"/>
      <c r="AS823" s="3"/>
      <c r="BD823" s="97"/>
      <c r="EL823" s="3"/>
      <c r="EM823" s="3"/>
    </row>
    <row r="824" spans="9:143">
      <c r="I824" s="22"/>
      <c r="J824" s="156" t="s">
        <v>2547</v>
      </c>
      <c r="K824" s="156" t="s">
        <v>2547</v>
      </c>
      <c r="L824" s="22">
        <v>19</v>
      </c>
      <c r="M824" s="22">
        <v>23</v>
      </c>
      <c r="N824" s="22">
        <v>53.2</v>
      </c>
      <c r="O824" s="22">
        <v>-40</v>
      </c>
      <c r="P824" s="22">
        <v>-36</v>
      </c>
      <c r="Q824" s="22">
        <v>-57</v>
      </c>
      <c r="R824" s="22" t="s">
        <v>2548</v>
      </c>
      <c r="S824" s="23" t="s">
        <v>2549</v>
      </c>
      <c r="AJ824" s="175"/>
      <c r="AK824" s="175"/>
      <c r="AL824" s="175"/>
      <c r="AM824" s="175"/>
      <c r="AN824" s="175"/>
      <c r="AO824" s="175"/>
      <c r="AP824" s="175"/>
      <c r="AS824" s="3"/>
      <c r="BD824" s="97"/>
      <c r="EL824" s="3"/>
      <c r="EM824" s="3"/>
    </row>
    <row r="825" spans="9:143">
      <c r="I825" s="22"/>
      <c r="J825" s="156" t="s">
        <v>2550</v>
      </c>
      <c r="K825" s="156" t="s">
        <v>2550</v>
      </c>
      <c r="L825" s="22">
        <v>18</v>
      </c>
      <c r="M825" s="22">
        <v>5</v>
      </c>
      <c r="N825" s="22">
        <v>48.5</v>
      </c>
      <c r="O825" s="22">
        <v>-30</v>
      </c>
      <c r="P825" s="22">
        <v>-25</v>
      </c>
      <c r="Q825" s="22">
        <v>-27</v>
      </c>
      <c r="R825" s="22" t="s">
        <v>2551</v>
      </c>
      <c r="S825" s="23" t="s">
        <v>2552</v>
      </c>
      <c r="AJ825" s="175"/>
      <c r="AK825" s="175"/>
      <c r="AL825" s="175"/>
      <c r="AM825" s="175"/>
      <c r="AN825" s="175"/>
      <c r="AO825" s="175"/>
      <c r="AP825" s="175"/>
      <c r="AS825" s="3"/>
      <c r="BD825" s="97"/>
      <c r="EL825" s="3"/>
      <c r="EM825" s="3"/>
    </row>
    <row r="826" spans="9:143">
      <c r="I826" s="22"/>
      <c r="J826" s="156" t="s">
        <v>2553</v>
      </c>
      <c r="K826" s="156" t="s">
        <v>2553</v>
      </c>
      <c r="L826" s="22">
        <v>18</v>
      </c>
      <c r="M826" s="22">
        <v>20</v>
      </c>
      <c r="N826" s="22">
        <v>59.6</v>
      </c>
      <c r="O826" s="22">
        <v>-29</v>
      </c>
      <c r="P826" s="22">
        <v>-49</v>
      </c>
      <c r="Q826" s="22">
        <v>-41</v>
      </c>
      <c r="R826" s="22" t="s">
        <v>2554</v>
      </c>
      <c r="S826" s="23" t="s">
        <v>2555</v>
      </c>
      <c r="AJ826" s="175"/>
      <c r="AK826" s="175"/>
      <c r="AL826" s="175"/>
      <c r="AM826" s="175"/>
      <c r="AN826" s="175"/>
      <c r="AO826" s="175"/>
      <c r="AP826" s="175"/>
      <c r="AS826" s="3"/>
      <c r="BD826" s="97"/>
      <c r="EL826" s="3"/>
      <c r="EM826" s="3"/>
    </row>
    <row r="827" spans="9:143">
      <c r="I827" s="22"/>
      <c r="J827" s="156" t="s">
        <v>2556</v>
      </c>
      <c r="K827" s="156" t="s">
        <v>2556</v>
      </c>
      <c r="L827" s="22">
        <v>18</v>
      </c>
      <c r="M827" s="22">
        <v>24</v>
      </c>
      <c r="N827" s="22">
        <v>10.3</v>
      </c>
      <c r="O827" s="22">
        <v>-34</v>
      </c>
      <c r="P827" s="22">
        <v>-23</v>
      </c>
      <c r="Q827" s="22">
        <v>-5</v>
      </c>
      <c r="R827" s="22" t="s">
        <v>2557</v>
      </c>
      <c r="S827" s="23" t="s">
        <v>2558</v>
      </c>
      <c r="AJ827" s="175"/>
      <c r="AK827" s="175"/>
      <c r="AL827" s="175"/>
      <c r="AM827" s="175"/>
      <c r="AN827" s="175"/>
      <c r="AO827" s="175"/>
      <c r="AP827" s="175"/>
      <c r="AS827" s="3"/>
      <c r="BD827" s="97"/>
      <c r="EL827" s="3"/>
      <c r="EM827" s="3"/>
    </row>
    <row r="828" spans="9:143">
      <c r="I828" s="22"/>
      <c r="J828" s="156" t="s">
        <v>2559</v>
      </c>
      <c r="K828" s="156" t="s">
        <v>2559</v>
      </c>
      <c r="L828" s="22">
        <v>19</v>
      </c>
      <c r="M828" s="22">
        <v>2</v>
      </c>
      <c r="N828" s="22">
        <v>36.700000000000003</v>
      </c>
      <c r="O828" s="22">
        <v>-29</v>
      </c>
      <c r="P828" s="22">
        <v>-52</v>
      </c>
      <c r="Q828" s="22">
        <v>-48</v>
      </c>
      <c r="R828" s="22" t="s">
        <v>2560</v>
      </c>
      <c r="S828" s="23" t="s">
        <v>2561</v>
      </c>
      <c r="AJ828" s="175"/>
      <c r="AK828" s="175"/>
      <c r="AL828" s="175"/>
      <c r="AM828" s="175"/>
      <c r="AN828" s="175"/>
      <c r="AO828" s="175"/>
      <c r="AP828" s="175"/>
      <c r="AS828" s="3"/>
      <c r="BD828" s="97"/>
      <c r="EL828" s="3"/>
      <c r="EM828" s="3"/>
    </row>
    <row r="829" spans="9:143">
      <c r="I829" s="22"/>
      <c r="J829" s="156" t="s">
        <v>2562</v>
      </c>
      <c r="K829" s="156" t="s">
        <v>2562</v>
      </c>
      <c r="L829" s="22">
        <v>18</v>
      </c>
      <c r="M829" s="22">
        <v>17</v>
      </c>
      <c r="N829" s="22">
        <v>37.6</v>
      </c>
      <c r="O829" s="22">
        <v>-36</v>
      </c>
      <c r="P829" s="22">
        <v>-45</v>
      </c>
      <c r="Q829" s="22">
        <v>-42</v>
      </c>
      <c r="R829" s="22" t="s">
        <v>2563</v>
      </c>
      <c r="S829" s="23" t="s">
        <v>2564</v>
      </c>
      <c r="AJ829" s="175"/>
      <c r="AK829" s="175"/>
      <c r="AL829" s="175"/>
      <c r="AM829" s="175"/>
      <c r="AN829" s="175"/>
      <c r="AO829" s="175"/>
      <c r="AP829" s="175"/>
      <c r="AS829" s="3"/>
      <c r="BD829" s="97"/>
      <c r="EL829" s="3"/>
      <c r="EM829" s="3"/>
    </row>
    <row r="830" spans="9:143">
      <c r="I830" s="22"/>
      <c r="J830" s="156" t="s">
        <v>2565</v>
      </c>
      <c r="K830" s="156" t="s">
        <v>2565</v>
      </c>
      <c r="L830" s="22">
        <v>18</v>
      </c>
      <c r="M830" s="22">
        <v>27</v>
      </c>
      <c r="N830" s="22">
        <v>58.2</v>
      </c>
      <c r="O830" s="22">
        <v>-25</v>
      </c>
      <c r="P830" s="22">
        <v>-25</v>
      </c>
      <c r="Q830" s="22">
        <v>-18</v>
      </c>
      <c r="R830" s="22" t="s">
        <v>2566</v>
      </c>
      <c r="S830" s="23" t="s">
        <v>2567</v>
      </c>
      <c r="AJ830" s="175"/>
      <c r="AK830" s="175"/>
      <c r="AL830" s="175"/>
      <c r="AM830" s="175"/>
      <c r="AN830" s="175"/>
      <c r="AO830" s="175"/>
      <c r="AP830" s="175"/>
      <c r="AS830" s="3"/>
      <c r="BD830" s="97"/>
      <c r="EL830" s="3"/>
      <c r="EM830" s="3"/>
    </row>
    <row r="831" spans="9:143">
      <c r="I831" s="22"/>
      <c r="J831" s="156" t="s">
        <v>2568</v>
      </c>
      <c r="K831" s="156" t="s">
        <v>2568</v>
      </c>
      <c r="L831" s="22">
        <v>18</v>
      </c>
      <c r="M831" s="22">
        <v>57</v>
      </c>
      <c r="N831" s="22">
        <v>43.8</v>
      </c>
      <c r="O831" s="22">
        <v>-21</v>
      </c>
      <c r="P831" s="22">
        <v>-6</v>
      </c>
      <c r="Q831" s="22">
        <v>-24</v>
      </c>
      <c r="R831" s="22" t="s">
        <v>2569</v>
      </c>
      <c r="S831" s="23" t="s">
        <v>2570</v>
      </c>
      <c r="AJ831" s="175"/>
      <c r="AK831" s="175"/>
      <c r="AL831" s="175"/>
      <c r="AM831" s="175"/>
      <c r="AN831" s="175"/>
      <c r="AO831" s="175"/>
      <c r="AP831" s="175"/>
      <c r="AS831" s="3"/>
      <c r="BD831" s="97"/>
      <c r="EL831" s="3"/>
      <c r="EM831" s="3"/>
    </row>
    <row r="832" spans="9:143">
      <c r="I832" s="22"/>
      <c r="J832" s="156" t="s">
        <v>2571</v>
      </c>
      <c r="K832" s="156" t="s">
        <v>2571</v>
      </c>
      <c r="L832" s="22">
        <v>19</v>
      </c>
      <c r="M832" s="22">
        <v>4</v>
      </c>
      <c r="N832" s="22">
        <v>41</v>
      </c>
      <c r="O832" s="22">
        <v>-21</v>
      </c>
      <c r="P832" s="22">
        <v>-44</v>
      </c>
      <c r="Q832" s="22">
        <v>-29</v>
      </c>
      <c r="R832" s="22" t="s">
        <v>2572</v>
      </c>
      <c r="S832" s="23" t="s">
        <v>2573</v>
      </c>
      <c r="AJ832" s="175"/>
      <c r="AK832" s="175"/>
      <c r="AL832" s="175"/>
      <c r="AM832" s="175"/>
      <c r="AN832" s="175"/>
      <c r="AO832" s="175"/>
      <c r="AP832" s="175"/>
      <c r="AS832" s="3"/>
      <c r="BD832" s="97"/>
      <c r="EL832" s="3"/>
      <c r="EM832" s="3"/>
    </row>
    <row r="833" spans="9:143">
      <c r="I833" s="22"/>
      <c r="J833" s="156" t="s">
        <v>2574</v>
      </c>
      <c r="K833" s="156" t="s">
        <v>2574</v>
      </c>
      <c r="L833" s="22">
        <v>19</v>
      </c>
      <c r="M833" s="22">
        <v>9</v>
      </c>
      <c r="N833" s="22">
        <v>45.8</v>
      </c>
      <c r="O833" s="22">
        <v>-21</v>
      </c>
      <c r="P833" s="22">
        <v>-1</v>
      </c>
      <c r="Q833" s="22">
        <v>-25</v>
      </c>
      <c r="R833" s="22" t="s">
        <v>2575</v>
      </c>
      <c r="S833" s="23" t="s">
        <v>2576</v>
      </c>
      <c r="AJ833" s="175"/>
      <c r="AK833" s="175"/>
      <c r="AL833" s="175"/>
      <c r="AM833" s="175"/>
      <c r="AN833" s="175"/>
      <c r="AO833" s="175"/>
      <c r="AP833" s="175"/>
      <c r="AS833" s="3"/>
      <c r="BD833" s="97"/>
      <c r="EL833" s="3"/>
      <c r="EM833" s="3"/>
    </row>
    <row r="834" spans="9:143">
      <c r="I834" s="22"/>
      <c r="J834" s="156" t="s">
        <v>2577</v>
      </c>
      <c r="K834" s="156" t="s">
        <v>2577</v>
      </c>
      <c r="L834" s="22">
        <v>18</v>
      </c>
      <c r="M834" s="22">
        <v>55</v>
      </c>
      <c r="N834" s="22">
        <v>15.9</v>
      </c>
      <c r="O834" s="22">
        <v>-26</v>
      </c>
      <c r="P834" s="22">
        <v>-17</v>
      </c>
      <c r="Q834" s="22">
        <v>-48</v>
      </c>
      <c r="R834" s="22" t="s">
        <v>2578</v>
      </c>
      <c r="S834" s="23" t="s">
        <v>2579</v>
      </c>
      <c r="V834" s="5"/>
      <c r="W834" s="5"/>
      <c r="X834" s="283" t="s">
        <v>3101</v>
      </c>
      <c r="Y834" s="5"/>
      <c r="Z834" s="342"/>
      <c r="AA834" s="5"/>
      <c r="AB834" s="5"/>
      <c r="AC834" s="5"/>
      <c r="AD834" s="5"/>
      <c r="AE834" s="5"/>
      <c r="AF834" s="5"/>
      <c r="AG834" s="5"/>
      <c r="AJ834" s="175"/>
      <c r="AK834" s="175"/>
      <c r="AL834" s="175"/>
      <c r="AM834" s="175"/>
      <c r="AN834" s="175"/>
      <c r="AO834" s="175"/>
      <c r="AP834" s="175"/>
      <c r="AS834" s="3"/>
      <c r="BD834" s="97"/>
      <c r="EL834" s="3"/>
      <c r="EM834" s="3"/>
    </row>
    <row r="835" spans="9:143">
      <c r="I835" s="22"/>
      <c r="J835" s="156" t="s">
        <v>2580</v>
      </c>
      <c r="K835" s="156" t="s">
        <v>2580</v>
      </c>
      <c r="L835" s="22">
        <v>19</v>
      </c>
      <c r="M835" s="22">
        <v>6</v>
      </c>
      <c r="N835" s="22">
        <v>56.4</v>
      </c>
      <c r="O835" s="22">
        <v>-27</v>
      </c>
      <c r="P835" s="22">
        <v>-40</v>
      </c>
      <c r="Q835" s="22">
        <v>-14</v>
      </c>
      <c r="R835" s="22" t="s">
        <v>2581</v>
      </c>
      <c r="S835" s="23" t="s">
        <v>2582</v>
      </c>
      <c r="AJ835" s="175"/>
      <c r="AK835" s="175"/>
      <c r="AL835" s="175"/>
      <c r="AM835" s="175"/>
      <c r="AN835" s="175"/>
      <c r="AO835" s="175"/>
      <c r="AP835" s="175"/>
      <c r="AS835" s="3"/>
      <c r="BD835" s="97"/>
      <c r="EL835" s="3"/>
      <c r="EM835" s="3"/>
    </row>
    <row r="836" spans="9:143">
      <c r="I836" s="22"/>
      <c r="J836" s="156" t="s">
        <v>2583</v>
      </c>
      <c r="K836" s="156" t="s">
        <v>2583</v>
      </c>
      <c r="L836" s="22">
        <v>18</v>
      </c>
      <c r="M836" s="22">
        <v>45</v>
      </c>
      <c r="N836" s="22">
        <v>39.4</v>
      </c>
      <c r="O836" s="22">
        <v>-26</v>
      </c>
      <c r="P836" s="22">
        <v>-59</v>
      </c>
      <c r="Q836" s="22">
        <v>-27</v>
      </c>
      <c r="R836" s="22" t="s">
        <v>2584</v>
      </c>
      <c r="S836" s="23" t="s">
        <v>2585</v>
      </c>
      <c r="AJ836" s="175"/>
      <c r="AK836" s="175"/>
      <c r="AL836" s="175"/>
      <c r="AM836" s="175"/>
      <c r="AN836" s="175"/>
      <c r="AO836" s="175"/>
      <c r="AP836" s="175"/>
      <c r="AS836" s="3"/>
      <c r="BD836" s="97"/>
      <c r="EL836" s="3"/>
      <c r="EM836" s="3"/>
    </row>
    <row r="837" spans="9:143">
      <c r="I837" s="24" t="s">
        <v>2586</v>
      </c>
      <c r="J837" s="157" t="s">
        <v>2587</v>
      </c>
      <c r="K837" s="157" t="s">
        <v>2587</v>
      </c>
      <c r="L837" s="24" t="s">
        <v>39</v>
      </c>
      <c r="M837" s="24" t="s">
        <v>2586</v>
      </c>
      <c r="N837" s="24" t="s">
        <v>2586</v>
      </c>
      <c r="O837" s="24" t="s">
        <v>40</v>
      </c>
      <c r="P837" s="24" t="s">
        <v>2588</v>
      </c>
      <c r="Q837" s="24" t="s">
        <v>2589</v>
      </c>
      <c r="R837" s="24" t="s">
        <v>2590</v>
      </c>
      <c r="S837" s="24" t="s">
        <v>2588</v>
      </c>
      <c r="AJ837" s="175"/>
      <c r="AK837" s="175"/>
      <c r="AL837" s="175"/>
      <c r="AM837" s="175"/>
      <c r="AN837" s="175"/>
      <c r="AO837" s="175"/>
      <c r="AP837" s="175"/>
      <c r="AS837" s="3"/>
      <c r="BD837" s="97"/>
      <c r="EL837" s="3"/>
      <c r="EM837" s="3"/>
    </row>
    <row r="838" spans="9:143">
      <c r="I838" s="22"/>
      <c r="J838" s="156" t="s">
        <v>2591</v>
      </c>
      <c r="K838" s="156" t="s">
        <v>2591</v>
      </c>
      <c r="L838" s="22">
        <v>1</v>
      </c>
      <c r="M838" s="22">
        <v>53</v>
      </c>
      <c r="N838" s="22">
        <v>4.9000000000000004</v>
      </c>
      <c r="O838" s="22">
        <v>29</v>
      </c>
      <c r="P838" s="22">
        <v>34</v>
      </c>
      <c r="Q838" s="22">
        <v>44</v>
      </c>
      <c r="R838" s="22" t="s">
        <v>2592</v>
      </c>
      <c r="S838" s="22" t="s">
        <v>2593</v>
      </c>
      <c r="AJ838" s="175"/>
      <c r="AK838" s="175"/>
      <c r="AL838" s="175"/>
      <c r="AM838" s="175"/>
      <c r="AN838" s="175"/>
      <c r="AO838" s="175"/>
      <c r="AP838" s="175"/>
      <c r="AS838" s="3"/>
      <c r="BD838" s="97"/>
      <c r="EL838" s="3"/>
      <c r="EM838" s="3"/>
    </row>
    <row r="839" spans="9:143">
      <c r="I839" s="22"/>
      <c r="J839" s="156" t="s">
        <v>2594</v>
      </c>
      <c r="K839" s="156" t="s">
        <v>2594</v>
      </c>
      <c r="L839" s="22">
        <v>2</v>
      </c>
      <c r="M839" s="22">
        <v>9</v>
      </c>
      <c r="N839" s="22">
        <v>32.6</v>
      </c>
      <c r="O839" s="22">
        <v>34</v>
      </c>
      <c r="P839" s="22">
        <v>59</v>
      </c>
      <c r="Q839" s="22">
        <v>14</v>
      </c>
      <c r="R839" s="22" t="s">
        <v>2595</v>
      </c>
      <c r="S839" s="22" t="s">
        <v>2596</v>
      </c>
      <c r="AJ839" s="175"/>
      <c r="AK839" s="175"/>
      <c r="AL839" s="175"/>
      <c r="AM839" s="175"/>
      <c r="AN839" s="175"/>
      <c r="AO839" s="175"/>
      <c r="AP839" s="175"/>
      <c r="AS839" s="3"/>
      <c r="BD839" s="97"/>
      <c r="EL839" s="3"/>
      <c r="EM839" s="3"/>
    </row>
    <row r="840" spans="9:143">
      <c r="I840" s="22"/>
      <c r="J840" s="156" t="s">
        <v>2597</v>
      </c>
      <c r="K840" s="156" t="s">
        <v>2597</v>
      </c>
      <c r="L840" s="22">
        <v>2</v>
      </c>
      <c r="M840" s="22">
        <v>17</v>
      </c>
      <c r="N840" s="22">
        <v>18.899999999999999</v>
      </c>
      <c r="O840" s="22">
        <v>33</v>
      </c>
      <c r="P840" s="22">
        <v>50</v>
      </c>
      <c r="Q840" s="22">
        <v>50</v>
      </c>
      <c r="R840" s="22" t="s">
        <v>2598</v>
      </c>
      <c r="S840" s="22" t="s">
        <v>2599</v>
      </c>
      <c r="AJ840" s="175"/>
      <c r="AK840" s="175"/>
      <c r="AL840" s="175"/>
      <c r="AM840" s="175"/>
      <c r="AN840" s="175"/>
      <c r="AO840" s="175"/>
      <c r="AP840" s="175"/>
      <c r="AS840" s="3"/>
      <c r="BD840" s="97"/>
      <c r="EL840" s="3"/>
      <c r="EM840" s="3"/>
    </row>
    <row r="841" spans="9:143">
      <c r="I841" s="24" t="s">
        <v>2600</v>
      </c>
      <c r="J841" s="157" t="s">
        <v>2601</v>
      </c>
      <c r="K841" s="157" t="s">
        <v>2601</v>
      </c>
      <c r="L841" s="24" t="s">
        <v>39</v>
      </c>
      <c r="M841" s="24" t="s">
        <v>2600</v>
      </c>
      <c r="N841" s="24" t="s">
        <v>2600</v>
      </c>
      <c r="O841" s="24" t="s">
        <v>40</v>
      </c>
      <c r="P841" s="24" t="s">
        <v>2602</v>
      </c>
      <c r="Q841" s="24" t="s">
        <v>2603</v>
      </c>
      <c r="R841" s="24" t="s">
        <v>2604</v>
      </c>
      <c r="S841" s="24" t="s">
        <v>2602</v>
      </c>
      <c r="AJ841" s="175"/>
      <c r="AK841" s="175"/>
      <c r="AL841" s="175"/>
      <c r="AM841" s="175"/>
      <c r="AN841" s="175"/>
      <c r="AO841" s="175"/>
      <c r="AP841" s="175"/>
      <c r="AS841" s="3"/>
      <c r="BD841" s="97"/>
      <c r="EL841" s="3"/>
      <c r="EM841" s="3"/>
    </row>
    <row r="842" spans="9:143">
      <c r="I842" s="24" t="s">
        <v>2605</v>
      </c>
      <c r="J842" s="157" t="s">
        <v>2606</v>
      </c>
      <c r="K842" s="157" t="s">
        <v>2606</v>
      </c>
      <c r="L842" s="24" t="s">
        <v>39</v>
      </c>
      <c r="M842" s="24" t="s">
        <v>2605</v>
      </c>
      <c r="N842" s="24" t="s">
        <v>2605</v>
      </c>
      <c r="O842" s="24" t="s">
        <v>40</v>
      </c>
      <c r="P842" s="24" t="s">
        <v>2607</v>
      </c>
      <c r="Q842" s="24" t="s">
        <v>2608</v>
      </c>
      <c r="R842" s="24" t="s">
        <v>2609</v>
      </c>
      <c r="S842" s="24" t="s">
        <v>2607</v>
      </c>
      <c r="AJ842" s="175"/>
      <c r="AK842" s="175"/>
      <c r="AL842" s="175"/>
      <c r="AM842" s="175"/>
      <c r="AN842" s="175"/>
      <c r="AO842" s="175"/>
      <c r="AP842" s="175"/>
      <c r="AS842" s="3"/>
      <c r="BD842" s="97"/>
      <c r="EL842" s="3"/>
      <c r="EM842" s="3"/>
    </row>
    <row r="843" spans="9:143">
      <c r="I843" s="22"/>
      <c r="J843" s="156" t="s">
        <v>2610</v>
      </c>
      <c r="K843" s="156" t="s">
        <v>2610</v>
      </c>
      <c r="L843" s="22">
        <v>22</v>
      </c>
      <c r="M843" s="22">
        <v>5</v>
      </c>
      <c r="N843" s="22">
        <v>47</v>
      </c>
      <c r="O843" s="22">
        <v>0</v>
      </c>
      <c r="P843" s="22">
        <v>-19</v>
      </c>
      <c r="Q843" s="22">
        <v>-11</v>
      </c>
      <c r="R843" s="22" t="s">
        <v>2611</v>
      </c>
      <c r="S843" s="23" t="s">
        <v>2612</v>
      </c>
      <c r="AJ843" s="175"/>
      <c r="AK843" s="175"/>
      <c r="AL843" s="175"/>
      <c r="AM843" s="175"/>
      <c r="AN843" s="175"/>
      <c r="AO843" s="175"/>
      <c r="AP843" s="175"/>
      <c r="AS843" s="3"/>
      <c r="BD843" s="97"/>
      <c r="EL843" s="3"/>
      <c r="EM843" s="3"/>
    </row>
    <row r="844" spans="9:143">
      <c r="I844" s="22"/>
      <c r="J844" s="156" t="s">
        <v>2613</v>
      </c>
      <c r="K844" s="156" t="s">
        <v>2613</v>
      </c>
      <c r="L844" s="22">
        <v>21</v>
      </c>
      <c r="M844" s="22">
        <v>31</v>
      </c>
      <c r="N844" s="22">
        <v>33.5</v>
      </c>
      <c r="O844" s="22">
        <v>-5</v>
      </c>
      <c r="P844" s="22">
        <v>-34</v>
      </c>
      <c r="Q844" s="22">
        <v>-16</v>
      </c>
      <c r="R844" s="22" t="s">
        <v>2614</v>
      </c>
      <c r="S844" s="23" t="s">
        <v>2615</v>
      </c>
      <c r="AJ844" s="175"/>
      <c r="AK844" s="175"/>
      <c r="AL844" s="175"/>
      <c r="AM844" s="175"/>
      <c r="AN844" s="175"/>
      <c r="AO844" s="175"/>
      <c r="AP844" s="175"/>
      <c r="AS844" s="3"/>
      <c r="BD844" s="97"/>
      <c r="EL844" s="3"/>
      <c r="EM844" s="3"/>
    </row>
    <row r="845" spans="9:143">
      <c r="I845" s="22"/>
      <c r="J845" s="156" t="s">
        <v>2616</v>
      </c>
      <c r="K845" s="156" t="s">
        <v>2616</v>
      </c>
      <c r="L845" s="22">
        <v>22</v>
      </c>
      <c r="M845" s="22">
        <v>21</v>
      </c>
      <c r="N845" s="22">
        <v>39.4</v>
      </c>
      <c r="O845" s="22">
        <v>-1</v>
      </c>
      <c r="P845" s="22">
        <v>-23</v>
      </c>
      <c r="Q845" s="22">
        <v>-14</v>
      </c>
      <c r="R845" s="22" t="s">
        <v>2617</v>
      </c>
      <c r="S845" s="23" t="s">
        <v>2618</v>
      </c>
      <c r="AJ845" s="175"/>
      <c r="AK845" s="175"/>
      <c r="AL845" s="175"/>
      <c r="AM845" s="175"/>
      <c r="AN845" s="175"/>
      <c r="AO845" s="175"/>
      <c r="AP845" s="175"/>
      <c r="AS845" s="3"/>
      <c r="BD845" s="97"/>
      <c r="EL845" s="3"/>
      <c r="EM845" s="3"/>
    </row>
    <row r="846" spans="9:143">
      <c r="I846" s="22"/>
      <c r="J846" s="156" t="s">
        <v>2619</v>
      </c>
      <c r="K846" s="156" t="s">
        <v>2619</v>
      </c>
      <c r="L846" s="22">
        <v>22</v>
      </c>
      <c r="M846" s="22">
        <v>54</v>
      </c>
      <c r="N846" s="22">
        <v>39</v>
      </c>
      <c r="O846" s="22">
        <v>-15</v>
      </c>
      <c r="P846" s="22">
        <v>-49</v>
      </c>
      <c r="Q846" s="22">
        <v>-15</v>
      </c>
      <c r="R846" s="22" t="s">
        <v>2620</v>
      </c>
      <c r="S846" s="23" t="s">
        <v>2621</v>
      </c>
      <c r="AJ846" s="175"/>
      <c r="AK846" s="175"/>
      <c r="AL846" s="175"/>
      <c r="AM846" s="175"/>
      <c r="AN846" s="175"/>
      <c r="AO846" s="175"/>
      <c r="AP846" s="175"/>
      <c r="AS846" s="3"/>
      <c r="BD846" s="97"/>
      <c r="EL846" s="3"/>
      <c r="EM846" s="3"/>
    </row>
    <row r="847" spans="9:143">
      <c r="I847" s="22"/>
      <c r="J847" s="156" t="s">
        <v>2622</v>
      </c>
      <c r="K847" s="156" t="s">
        <v>2622</v>
      </c>
      <c r="L847" s="22">
        <v>20</v>
      </c>
      <c r="M847" s="22">
        <v>47</v>
      </c>
      <c r="N847" s="22">
        <v>40.6</v>
      </c>
      <c r="O847" s="22">
        <v>-9</v>
      </c>
      <c r="P847" s="22">
        <v>-29</v>
      </c>
      <c r="Q847" s="22">
        <v>-45</v>
      </c>
      <c r="R847" s="22" t="s">
        <v>2623</v>
      </c>
      <c r="S847" s="23" t="s">
        <v>2624</v>
      </c>
      <c r="AJ847" s="175"/>
      <c r="AK847" s="175"/>
      <c r="AL847" s="175"/>
      <c r="AM847" s="175"/>
      <c r="AN847" s="175"/>
      <c r="AO847" s="175"/>
      <c r="AP847" s="175"/>
      <c r="AS847" s="3"/>
      <c r="BD847" s="97"/>
      <c r="EL847" s="3"/>
      <c r="EM847" s="3"/>
    </row>
    <row r="848" spans="9:143">
      <c r="I848" s="22"/>
      <c r="J848" s="156" t="s">
        <v>2625</v>
      </c>
      <c r="K848" s="156" t="s">
        <v>2625</v>
      </c>
      <c r="L848" s="22">
        <v>22</v>
      </c>
      <c r="M848" s="22">
        <v>28</v>
      </c>
      <c r="N848" s="22">
        <v>49.9</v>
      </c>
      <c r="O848" s="22">
        <v>0</v>
      </c>
      <c r="P848" s="22">
        <v>-1</v>
      </c>
      <c r="Q848" s="22">
        <v>-12</v>
      </c>
      <c r="R848" s="22" t="s">
        <v>2626</v>
      </c>
      <c r="S848" s="23" t="s">
        <v>2627</v>
      </c>
      <c r="AJ848" s="175"/>
      <c r="AK848" s="175"/>
      <c r="AL848" s="175"/>
      <c r="AM848" s="175"/>
      <c r="AN848" s="175"/>
      <c r="AO848" s="175"/>
      <c r="AP848" s="175"/>
      <c r="AS848" s="3"/>
      <c r="BD848" s="97"/>
      <c r="EL848" s="3"/>
      <c r="EM848" s="3"/>
    </row>
    <row r="849" spans="9:143">
      <c r="I849" s="22"/>
      <c r="J849" s="156" t="s">
        <v>2628</v>
      </c>
      <c r="K849" s="156" t="s">
        <v>2628</v>
      </c>
      <c r="L849" s="22">
        <v>22</v>
      </c>
      <c r="M849" s="22">
        <v>35</v>
      </c>
      <c r="N849" s="22">
        <v>21.4</v>
      </c>
      <c r="O849" s="22">
        <v>0</v>
      </c>
      <c r="P849" s="22">
        <v>-7</v>
      </c>
      <c r="Q849" s="22">
        <v>-3</v>
      </c>
      <c r="R849" s="22" t="s">
        <v>2629</v>
      </c>
      <c r="S849" s="23" t="s">
        <v>2630</v>
      </c>
      <c r="AJ849" s="175"/>
      <c r="AK849" s="175"/>
      <c r="AL849" s="175"/>
      <c r="AM849" s="175"/>
      <c r="AN849" s="175"/>
      <c r="AO849" s="175"/>
      <c r="AP849" s="175"/>
      <c r="AS849" s="3"/>
      <c r="BD849" s="97"/>
      <c r="EL849" s="3"/>
      <c r="EM849" s="3"/>
    </row>
    <row r="850" spans="9:143">
      <c r="I850" s="22"/>
      <c r="J850" s="156" t="s">
        <v>2631</v>
      </c>
      <c r="K850" s="156" t="s">
        <v>2631</v>
      </c>
      <c r="L850" s="22">
        <v>22</v>
      </c>
      <c r="M850" s="22">
        <v>16</v>
      </c>
      <c r="N850" s="22">
        <v>50</v>
      </c>
      <c r="O850" s="22">
        <v>-7</v>
      </c>
      <c r="P850" s="22">
        <v>-47</v>
      </c>
      <c r="Q850" s="22">
        <v>0</v>
      </c>
      <c r="R850" s="22" t="s">
        <v>2632</v>
      </c>
      <c r="S850" s="23" t="s">
        <v>2633</v>
      </c>
      <c r="AJ850" s="175"/>
      <c r="AK850" s="175"/>
      <c r="AL850" s="175"/>
      <c r="AM850" s="175"/>
      <c r="AN850" s="175"/>
      <c r="AO850" s="175"/>
      <c r="AP850" s="175"/>
      <c r="AS850" s="3"/>
      <c r="BD850" s="97"/>
      <c r="EL850" s="3"/>
      <c r="EM850" s="3"/>
    </row>
    <row r="851" spans="9:143">
      <c r="I851" s="22"/>
      <c r="J851" s="156" t="s">
        <v>2634</v>
      </c>
      <c r="K851" s="156" t="s">
        <v>2634</v>
      </c>
      <c r="L851" s="22">
        <v>20</v>
      </c>
      <c r="M851" s="22">
        <v>47</v>
      </c>
      <c r="N851" s="22">
        <v>44.2</v>
      </c>
      <c r="O851" s="22">
        <v>-5</v>
      </c>
      <c r="P851" s="22">
        <v>-1</v>
      </c>
      <c r="Q851" s="22">
        <v>-40</v>
      </c>
      <c r="R851" s="22" t="s">
        <v>2635</v>
      </c>
      <c r="S851" s="23" t="s">
        <v>2636</v>
      </c>
      <c r="AJ851" s="175"/>
      <c r="AK851" s="175"/>
      <c r="AL851" s="175"/>
      <c r="AM851" s="175"/>
      <c r="AN851" s="175"/>
      <c r="AO851" s="175"/>
      <c r="AP851" s="175"/>
      <c r="AS851" s="3"/>
      <c r="BD851" s="97"/>
      <c r="EL851" s="3"/>
      <c r="EM851" s="3"/>
    </row>
    <row r="852" spans="9:143">
      <c r="I852" s="22"/>
      <c r="J852" s="156" t="s">
        <v>2637</v>
      </c>
      <c r="K852" s="156" t="s">
        <v>2637</v>
      </c>
      <c r="L852" s="22">
        <v>22</v>
      </c>
      <c r="M852" s="22">
        <v>52</v>
      </c>
      <c r="N852" s="22">
        <v>36.9</v>
      </c>
      <c r="O852" s="22">
        <v>-7</v>
      </c>
      <c r="P852" s="22">
        <v>-34</v>
      </c>
      <c r="Q852" s="22">
        <v>-47</v>
      </c>
      <c r="R852" s="22" t="s">
        <v>2638</v>
      </c>
      <c r="S852" s="23" t="s">
        <v>2639</v>
      </c>
      <c r="AJ852" s="175"/>
      <c r="AK852" s="175"/>
      <c r="AL852" s="175"/>
      <c r="AM852" s="175"/>
      <c r="AN852" s="175"/>
      <c r="AO852" s="175"/>
      <c r="AP852" s="175"/>
      <c r="AS852" s="3"/>
      <c r="BD852" s="97"/>
      <c r="EL852" s="3"/>
      <c r="EM852" s="3"/>
    </row>
    <row r="853" spans="9:143">
      <c r="I853" s="22"/>
      <c r="J853" s="156" t="s">
        <v>2640</v>
      </c>
      <c r="K853" s="156" t="s">
        <v>2640</v>
      </c>
      <c r="L853" s="22">
        <v>21</v>
      </c>
      <c r="M853" s="22">
        <v>9</v>
      </c>
      <c r="N853" s="22">
        <v>33.700000000000003</v>
      </c>
      <c r="O853" s="22">
        <v>-11</v>
      </c>
      <c r="P853" s="22">
        <v>-22</v>
      </c>
      <c r="Q853" s="22">
        <v>-18</v>
      </c>
      <c r="R853" s="22" t="s">
        <v>2641</v>
      </c>
      <c r="S853" s="23" t="s">
        <v>2642</v>
      </c>
      <c r="AJ853" s="175"/>
      <c r="AK853" s="175"/>
      <c r="AL853" s="175"/>
      <c r="AM853" s="175"/>
      <c r="AN853" s="175"/>
      <c r="AO853" s="175"/>
      <c r="AP853" s="175"/>
      <c r="AS853" s="3"/>
      <c r="BD853" s="97"/>
      <c r="EL853" s="3"/>
      <c r="EM853" s="3"/>
    </row>
    <row r="854" spans="9:143">
      <c r="I854" s="22"/>
      <c r="J854" s="156" t="s">
        <v>2643</v>
      </c>
      <c r="K854" s="156" t="s">
        <v>2643</v>
      </c>
      <c r="L854" s="22">
        <v>22</v>
      </c>
      <c r="M854" s="22">
        <v>25</v>
      </c>
      <c r="N854" s="22">
        <v>16.600000000000001</v>
      </c>
      <c r="O854" s="22">
        <v>1</v>
      </c>
      <c r="P854" s="22">
        <v>22</v>
      </c>
      <c r="Q854" s="22">
        <v>39</v>
      </c>
      <c r="R854" s="22" t="s">
        <v>2644</v>
      </c>
      <c r="S854" s="23" t="s">
        <v>2645</v>
      </c>
      <c r="AJ854" s="175"/>
      <c r="AK854" s="175"/>
      <c r="AL854" s="175"/>
      <c r="AM854" s="175"/>
      <c r="AN854" s="175"/>
      <c r="AO854" s="175"/>
      <c r="AP854" s="175"/>
      <c r="AS854" s="3"/>
      <c r="BD854" s="97"/>
      <c r="EL854" s="3"/>
      <c r="EM854" s="3"/>
    </row>
    <row r="855" spans="9:143">
      <c r="I855" s="22"/>
      <c r="J855" s="156" t="s">
        <v>2646</v>
      </c>
      <c r="K855" s="156" t="s">
        <v>2646</v>
      </c>
      <c r="L855" s="22">
        <v>23</v>
      </c>
      <c r="M855" s="22">
        <v>14</v>
      </c>
      <c r="N855" s="22">
        <v>19.399999999999999</v>
      </c>
      <c r="O855" s="22">
        <v>-6</v>
      </c>
      <c r="P855" s="22">
        <v>-2</v>
      </c>
      <c r="Q855" s="22">
        <v>-56</v>
      </c>
      <c r="R855" s="22" t="s">
        <v>2647</v>
      </c>
      <c r="S855" s="23" t="s">
        <v>2648</v>
      </c>
      <c r="AJ855" s="175"/>
      <c r="AK855" s="175"/>
      <c r="AL855" s="175"/>
      <c r="AM855" s="175"/>
      <c r="AN855" s="175"/>
      <c r="AO855" s="175"/>
      <c r="AP855" s="175"/>
      <c r="AS855" s="3"/>
      <c r="BD855" s="97"/>
      <c r="EL855" s="3"/>
      <c r="EM855" s="3"/>
    </row>
    <row r="856" spans="9:143">
      <c r="I856" s="22"/>
      <c r="J856" s="156" t="s">
        <v>2649</v>
      </c>
      <c r="K856" s="156" t="s">
        <v>2649</v>
      </c>
      <c r="L856" s="22">
        <v>23</v>
      </c>
      <c r="M856" s="22">
        <v>15</v>
      </c>
      <c r="N856" s="22">
        <v>53.5</v>
      </c>
      <c r="O856" s="22">
        <v>-9</v>
      </c>
      <c r="P856" s="22">
        <v>-5</v>
      </c>
      <c r="Q856" s="22">
        <v>-16</v>
      </c>
      <c r="R856" s="22" t="s">
        <v>2650</v>
      </c>
      <c r="S856" s="23" t="s">
        <v>2651</v>
      </c>
      <c r="AJ856" s="175"/>
      <c r="AK856" s="175"/>
      <c r="AL856" s="175"/>
      <c r="AM856" s="175"/>
      <c r="AN856" s="175"/>
      <c r="AO856" s="175"/>
      <c r="AP856" s="175"/>
      <c r="AS856" s="3"/>
      <c r="BD856" s="97"/>
      <c r="EL856" s="3"/>
      <c r="EM856" s="3"/>
    </row>
    <row r="857" spans="9:143">
      <c r="I857" s="22"/>
      <c r="J857" s="156" t="s">
        <v>2652</v>
      </c>
      <c r="K857" s="156" t="s">
        <v>2652</v>
      </c>
      <c r="L857" s="22">
        <v>23</v>
      </c>
      <c r="M857" s="22">
        <v>17</v>
      </c>
      <c r="N857" s="22">
        <v>54.2</v>
      </c>
      <c r="O857" s="22">
        <v>-9</v>
      </c>
      <c r="P857" s="22">
        <v>-10</v>
      </c>
      <c r="Q857" s="22">
        <v>-57</v>
      </c>
      <c r="R857" s="22" t="s">
        <v>2653</v>
      </c>
      <c r="S857" s="23" t="s">
        <v>2654</v>
      </c>
      <c r="AJ857" s="175"/>
      <c r="AK857" s="175"/>
      <c r="AL857" s="175"/>
      <c r="AM857" s="175"/>
      <c r="AN857" s="175"/>
      <c r="AO857" s="175"/>
      <c r="AP857" s="175"/>
      <c r="AS857" s="3"/>
      <c r="BD857" s="97"/>
      <c r="EL857" s="3"/>
      <c r="EM857" s="3"/>
    </row>
    <row r="858" spans="9:143">
      <c r="I858" s="22"/>
      <c r="J858" s="156" t="s">
        <v>2655</v>
      </c>
      <c r="K858" s="156" t="s">
        <v>2655</v>
      </c>
      <c r="L858" s="22">
        <v>23</v>
      </c>
      <c r="M858" s="22">
        <v>42</v>
      </c>
      <c r="N858" s="22">
        <v>43.3</v>
      </c>
      <c r="O858" s="22">
        <v>-14</v>
      </c>
      <c r="P858" s="22">
        <v>-32</v>
      </c>
      <c r="Q858" s="22">
        <v>-42</v>
      </c>
      <c r="R858" s="22" t="s">
        <v>2656</v>
      </c>
      <c r="S858" s="23" t="s">
        <v>2657</v>
      </c>
      <c r="AJ858" s="175"/>
      <c r="AK858" s="175"/>
      <c r="AL858" s="175"/>
      <c r="AM858" s="175"/>
      <c r="AN858" s="175"/>
      <c r="AO858" s="175"/>
      <c r="AP858" s="175"/>
      <c r="AS858" s="3"/>
      <c r="BD858" s="97"/>
      <c r="EL858" s="3"/>
      <c r="EM858" s="3"/>
    </row>
    <row r="859" spans="9:143">
      <c r="I859" s="24" t="s">
        <v>2658</v>
      </c>
      <c r="J859" s="157" t="s">
        <v>2659</v>
      </c>
      <c r="K859" s="157" t="s">
        <v>2659</v>
      </c>
      <c r="L859" s="24" t="s">
        <v>39</v>
      </c>
      <c r="M859" s="24" t="s">
        <v>2658</v>
      </c>
      <c r="N859" s="24" t="s">
        <v>2658</v>
      </c>
      <c r="O859" s="24" t="s">
        <v>40</v>
      </c>
      <c r="P859" s="24" t="s">
        <v>2660</v>
      </c>
      <c r="Q859" s="24" t="s">
        <v>2661</v>
      </c>
      <c r="R859" s="24" t="s">
        <v>2662</v>
      </c>
      <c r="S859" s="24" t="s">
        <v>2660</v>
      </c>
      <c r="AJ859" s="175"/>
      <c r="AK859" s="175"/>
      <c r="AL859" s="175"/>
      <c r="AM859" s="175"/>
      <c r="AN859" s="175"/>
      <c r="AO859" s="175"/>
      <c r="AP859" s="175"/>
      <c r="AS859" s="3"/>
      <c r="BD859" s="97"/>
      <c r="EL859" s="3"/>
      <c r="EM859" s="3"/>
    </row>
    <row r="860" spans="9:143">
      <c r="I860" s="22"/>
      <c r="J860" s="156" t="s">
        <v>2663</v>
      </c>
      <c r="K860" s="156" t="s">
        <v>2663</v>
      </c>
      <c r="L860" s="22">
        <v>11</v>
      </c>
      <c r="M860" s="22">
        <v>52</v>
      </c>
      <c r="N860" s="22">
        <v>54.5</v>
      </c>
      <c r="O860" s="22">
        <v>-33</v>
      </c>
      <c r="P860" s="22">
        <v>-54</v>
      </c>
      <c r="Q860" s="22">
        <v>-29</v>
      </c>
      <c r="R860" s="22" t="s">
        <v>2664</v>
      </c>
      <c r="S860" s="23" t="s">
        <v>2665</v>
      </c>
      <c r="AJ860" s="175"/>
      <c r="AK860" s="175"/>
      <c r="AL860" s="175"/>
      <c r="AM860" s="175"/>
      <c r="AN860" s="175"/>
      <c r="AO860" s="175"/>
      <c r="AP860" s="175"/>
      <c r="AS860" s="3"/>
      <c r="BD860" s="97"/>
      <c r="EL860" s="3"/>
      <c r="EM860" s="3"/>
    </row>
    <row r="861" spans="9:143">
      <c r="I861" s="22"/>
      <c r="J861" s="156" t="s">
        <v>2666</v>
      </c>
      <c r="K861" s="156" t="s">
        <v>2666</v>
      </c>
      <c r="L861" s="22">
        <v>13</v>
      </c>
      <c r="M861" s="22">
        <v>18</v>
      </c>
      <c r="N861" s="22">
        <v>55.3</v>
      </c>
      <c r="O861" s="22">
        <v>-23</v>
      </c>
      <c r="P861" s="22">
        <v>-10</v>
      </c>
      <c r="Q861" s="22">
        <v>-17</v>
      </c>
      <c r="R861" s="22" t="s">
        <v>2667</v>
      </c>
      <c r="S861" s="23" t="s">
        <v>2668</v>
      </c>
      <c r="AJ861" s="175"/>
      <c r="AK861" s="175"/>
      <c r="AL861" s="175"/>
      <c r="AM861" s="175"/>
      <c r="AN861" s="175"/>
      <c r="AO861" s="175"/>
      <c r="AP861" s="175"/>
      <c r="AS861" s="3"/>
      <c r="BD861" s="97"/>
      <c r="EL861" s="3"/>
      <c r="EM861" s="3"/>
    </row>
    <row r="862" spans="9:143">
      <c r="I862" s="22"/>
      <c r="J862" s="156" t="s">
        <v>2669</v>
      </c>
      <c r="K862" s="156" t="s">
        <v>2669</v>
      </c>
      <c r="L862" s="22">
        <v>8</v>
      </c>
      <c r="M862" s="22">
        <v>37</v>
      </c>
      <c r="N862" s="22">
        <v>39.4</v>
      </c>
      <c r="O862" s="22">
        <v>5</v>
      </c>
      <c r="P862" s="22">
        <v>42</v>
      </c>
      <c r="Q862" s="22">
        <v>14</v>
      </c>
      <c r="R862" s="22" t="s">
        <v>2670</v>
      </c>
      <c r="S862" s="23" t="s">
        <v>2671</v>
      </c>
      <c r="AJ862" s="175"/>
      <c r="AK862" s="175"/>
      <c r="AL862" s="175"/>
      <c r="AM862" s="175"/>
      <c r="AN862" s="175"/>
      <c r="AO862" s="175"/>
      <c r="AP862" s="175"/>
      <c r="AS862" s="3"/>
      <c r="BD862" s="97"/>
      <c r="EL862" s="3"/>
      <c r="EM862" s="3"/>
    </row>
    <row r="863" spans="9:143">
      <c r="I863" s="22"/>
      <c r="J863" s="156" t="s">
        <v>2672</v>
      </c>
      <c r="K863" s="156" t="s">
        <v>2672</v>
      </c>
      <c r="L863" s="22">
        <v>8</v>
      </c>
      <c r="M863" s="22">
        <v>46</v>
      </c>
      <c r="N863" s="22">
        <v>46.5</v>
      </c>
      <c r="O863" s="22">
        <v>6</v>
      </c>
      <c r="P863" s="22">
        <v>25</v>
      </c>
      <c r="Q863" s="22">
        <v>8</v>
      </c>
      <c r="R863" s="22" t="s">
        <v>2673</v>
      </c>
      <c r="S863" s="23" t="s">
        <v>2674</v>
      </c>
      <c r="AJ863" s="175"/>
      <c r="AK863" s="175"/>
      <c r="AL863" s="175"/>
      <c r="AM863" s="175"/>
      <c r="AN863" s="175"/>
      <c r="AO863" s="175"/>
      <c r="AP863" s="175"/>
      <c r="AS863" s="3"/>
      <c r="BD863" s="97"/>
      <c r="EL863" s="3"/>
      <c r="EM863" s="3"/>
    </row>
    <row r="864" spans="9:143">
      <c r="I864" s="22"/>
      <c r="J864" s="156" t="s">
        <v>2675</v>
      </c>
      <c r="K864" s="156" t="s">
        <v>2675</v>
      </c>
      <c r="L864" s="22">
        <v>8</v>
      </c>
      <c r="M864" s="22">
        <v>55</v>
      </c>
      <c r="N864" s="22">
        <v>23.6</v>
      </c>
      <c r="O864" s="22">
        <v>5</v>
      </c>
      <c r="P864" s="22">
        <v>56</v>
      </c>
      <c r="Q864" s="22">
        <v>44</v>
      </c>
      <c r="R864" s="22" t="s">
        <v>2676</v>
      </c>
      <c r="S864" s="23" t="s">
        <v>2677</v>
      </c>
      <c r="AJ864" s="175"/>
      <c r="AK864" s="175"/>
      <c r="AL864" s="175"/>
      <c r="AM864" s="175"/>
      <c r="AN864" s="175"/>
      <c r="AO864" s="175"/>
      <c r="AP864" s="175"/>
      <c r="AS864" s="3"/>
      <c r="BD864" s="97"/>
      <c r="EL864" s="3"/>
      <c r="EM864" s="3"/>
    </row>
    <row r="865" spans="9:143">
      <c r="I865" s="22"/>
      <c r="J865" s="156" t="s">
        <v>2678</v>
      </c>
      <c r="K865" s="156" t="s">
        <v>2678</v>
      </c>
      <c r="L865" s="22">
        <v>9</v>
      </c>
      <c r="M865" s="22">
        <v>14</v>
      </c>
      <c r="N865" s="22">
        <v>21.9</v>
      </c>
      <c r="O865" s="22">
        <v>2</v>
      </c>
      <c r="P865" s="22">
        <v>18</v>
      </c>
      <c r="Q865" s="22">
        <v>51</v>
      </c>
      <c r="R865" s="22" t="s">
        <v>2679</v>
      </c>
      <c r="S865" s="23" t="s">
        <v>2680</v>
      </c>
      <c r="AJ865" s="175"/>
      <c r="AK865" s="175"/>
      <c r="AL865" s="175"/>
      <c r="AM865" s="175"/>
      <c r="AN865" s="175"/>
      <c r="AO865" s="175"/>
      <c r="AP865" s="175"/>
      <c r="AS865" s="3"/>
      <c r="BD865" s="97"/>
      <c r="EL865" s="3"/>
      <c r="EM865" s="3"/>
    </row>
    <row r="866" spans="9:143">
      <c r="I866" s="22"/>
      <c r="J866" s="156" t="s">
        <v>2681</v>
      </c>
      <c r="K866" s="156" t="s">
        <v>2681</v>
      </c>
      <c r="L866" s="22">
        <v>11</v>
      </c>
      <c r="M866" s="22">
        <v>33</v>
      </c>
      <c r="N866" s="22">
        <v>0.1</v>
      </c>
      <c r="O866" s="22">
        <v>-31</v>
      </c>
      <c r="P866" s="22">
        <v>-51</v>
      </c>
      <c r="Q866" s="22">
        <v>-27</v>
      </c>
      <c r="R866" s="22" t="s">
        <v>2682</v>
      </c>
      <c r="S866" s="23" t="s">
        <v>2683</v>
      </c>
      <c r="AJ866" s="175"/>
      <c r="AK866" s="175"/>
      <c r="AL866" s="175"/>
      <c r="AM866" s="175"/>
      <c r="AN866" s="175"/>
      <c r="AO866" s="175"/>
      <c r="AP866" s="175"/>
      <c r="AS866" s="3"/>
      <c r="BD866" s="97"/>
      <c r="EL866" s="3"/>
      <c r="EM866" s="3"/>
    </row>
    <row r="867" spans="9:143">
      <c r="I867" s="22"/>
      <c r="J867" s="156" t="s">
        <v>2684</v>
      </c>
      <c r="K867" s="156" t="s">
        <v>2684</v>
      </c>
      <c r="L867" s="22">
        <v>14</v>
      </c>
      <c r="M867" s="22">
        <v>6</v>
      </c>
      <c r="N867" s="22">
        <v>22.3</v>
      </c>
      <c r="O867" s="22">
        <v>-26</v>
      </c>
      <c r="P867" s="22">
        <v>-40</v>
      </c>
      <c r="Q867" s="22">
        <v>-57</v>
      </c>
      <c r="R867" s="22" t="s">
        <v>2685</v>
      </c>
      <c r="S867" s="23" t="s">
        <v>2686</v>
      </c>
      <c r="AJ867" s="175"/>
      <c r="AK867" s="175"/>
      <c r="AL867" s="175"/>
      <c r="AM867" s="175"/>
      <c r="AN867" s="175"/>
      <c r="AO867" s="175"/>
      <c r="AP867" s="175"/>
      <c r="AS867" s="3"/>
      <c r="BD867" s="97"/>
      <c r="EL867" s="3"/>
      <c r="EM867" s="3"/>
    </row>
    <row r="868" spans="9:143">
      <c r="I868" s="22"/>
      <c r="J868" s="156" t="s">
        <v>2687</v>
      </c>
      <c r="K868" s="156" t="s">
        <v>2687</v>
      </c>
      <c r="L868" s="22">
        <v>13</v>
      </c>
      <c r="M868" s="22">
        <v>9</v>
      </c>
      <c r="N868" s="22">
        <v>3.3</v>
      </c>
      <c r="O868" s="22">
        <v>-23</v>
      </c>
      <c r="P868" s="22">
        <v>-7</v>
      </c>
      <c r="Q868" s="22">
        <v>-5</v>
      </c>
      <c r="R868" s="22" t="s">
        <v>2688</v>
      </c>
      <c r="S868" s="23" t="s">
        <v>2689</v>
      </c>
      <c r="AJ868" s="175"/>
      <c r="AK868" s="175"/>
      <c r="AL868" s="175"/>
      <c r="AM868" s="175"/>
      <c r="AN868" s="175"/>
      <c r="AO868" s="175"/>
      <c r="AP868" s="175"/>
      <c r="AS868" s="3"/>
      <c r="BD868" s="97"/>
      <c r="EL868" s="3"/>
      <c r="EM868" s="3"/>
    </row>
    <row r="869" spans="9:143">
      <c r="I869" s="24" t="s">
        <v>2690</v>
      </c>
      <c r="J869" s="157" t="s">
        <v>2691</v>
      </c>
      <c r="K869" s="157" t="s">
        <v>2691</v>
      </c>
      <c r="L869" s="24" t="s">
        <v>39</v>
      </c>
      <c r="M869" s="24" t="s">
        <v>2690</v>
      </c>
      <c r="N869" s="24" t="s">
        <v>2690</v>
      </c>
      <c r="O869" s="24" t="s">
        <v>40</v>
      </c>
      <c r="P869" s="24" t="s">
        <v>2692</v>
      </c>
      <c r="Q869" s="24" t="s">
        <v>2693</v>
      </c>
      <c r="R869" s="24" t="s">
        <v>2694</v>
      </c>
      <c r="S869" s="24" t="s">
        <v>2692</v>
      </c>
      <c r="V869" s="5"/>
      <c r="W869" s="5"/>
      <c r="X869" s="283" t="s">
        <v>3101</v>
      </c>
      <c r="Y869" s="5"/>
      <c r="Z869" s="342"/>
      <c r="AA869" s="5"/>
      <c r="AB869" s="5"/>
      <c r="AC869" s="5"/>
      <c r="AD869" s="5"/>
      <c r="AE869" s="5"/>
      <c r="AF869" s="5"/>
      <c r="AG869" s="5"/>
      <c r="AJ869" s="175"/>
      <c r="AK869" s="175"/>
      <c r="AL869" s="175"/>
      <c r="AM869" s="175"/>
      <c r="AN869" s="175"/>
      <c r="AO869" s="175"/>
      <c r="AP869" s="175"/>
      <c r="AS869" s="3"/>
      <c r="BD869" s="97"/>
      <c r="EL869" s="3"/>
      <c r="EM869" s="3"/>
    </row>
    <row r="870" spans="9:143">
      <c r="I870" s="39" t="s">
        <v>0</v>
      </c>
      <c r="J870" s="162" t="s">
        <v>2695</v>
      </c>
      <c r="K870" s="162" t="s">
        <v>2695</v>
      </c>
      <c r="L870" s="39" t="s">
        <v>461</v>
      </c>
      <c r="M870" s="39" t="s">
        <v>2696</v>
      </c>
      <c r="N870" s="39" t="s">
        <v>2696</v>
      </c>
      <c r="O870" s="39" t="s">
        <v>461</v>
      </c>
      <c r="P870" s="39" t="s">
        <v>2696</v>
      </c>
      <c r="Q870" s="39" t="s">
        <v>2696</v>
      </c>
      <c r="R870" s="39" t="s">
        <v>461</v>
      </c>
      <c r="S870" s="39" t="s">
        <v>2696</v>
      </c>
      <c r="AJ870" s="175"/>
      <c r="AK870" s="175"/>
      <c r="AL870" s="175"/>
      <c r="AM870" s="175"/>
      <c r="AN870" s="175"/>
      <c r="AO870" s="175"/>
      <c r="AP870" s="175"/>
      <c r="AS870" s="3"/>
      <c r="BD870" s="97"/>
      <c r="EL870" s="3"/>
      <c r="EM870" s="3"/>
    </row>
    <row r="871" spans="9:143">
      <c r="I871" s="40"/>
      <c r="J871" s="159" t="s">
        <v>2697</v>
      </c>
      <c r="K871" s="159" t="s">
        <v>2697</v>
      </c>
      <c r="L871" s="41">
        <v>9</v>
      </c>
      <c r="M871" s="41">
        <v>37</v>
      </c>
      <c r="N871" s="41">
        <v>5.3</v>
      </c>
      <c r="O871" s="41">
        <v>81</v>
      </c>
      <c r="P871" s="41">
        <v>19</v>
      </c>
      <c r="Q871" s="41">
        <v>35</v>
      </c>
      <c r="R871" s="30" t="s">
        <v>2698</v>
      </c>
      <c r="S871" s="30" t="s">
        <v>2698</v>
      </c>
      <c r="AJ871" s="175"/>
      <c r="AK871" s="175"/>
      <c r="AL871" s="175"/>
      <c r="AM871" s="175"/>
      <c r="AN871" s="175"/>
      <c r="AO871" s="175"/>
      <c r="AP871" s="175"/>
      <c r="AS871" s="3"/>
      <c r="BD871" s="97"/>
      <c r="EL871" s="3"/>
      <c r="EM871" s="3"/>
    </row>
    <row r="872" spans="9:143">
      <c r="I872" s="40"/>
      <c r="J872" s="159" t="s">
        <v>2699</v>
      </c>
      <c r="K872" s="159" t="s">
        <v>2699</v>
      </c>
      <c r="L872" s="41">
        <v>12</v>
      </c>
      <c r="M872" s="41">
        <v>12</v>
      </c>
      <c r="N872" s="41">
        <v>11.9</v>
      </c>
      <c r="O872" s="41">
        <v>77</v>
      </c>
      <c r="P872" s="41">
        <v>36</v>
      </c>
      <c r="Q872" s="41">
        <v>58</v>
      </c>
      <c r="R872" s="30" t="s">
        <v>2700</v>
      </c>
      <c r="S872" s="30" t="s">
        <v>2700</v>
      </c>
      <c r="AJ872" s="175"/>
      <c r="AK872" s="175"/>
      <c r="AL872" s="175"/>
      <c r="AM872" s="175"/>
      <c r="AN872" s="175"/>
      <c r="AO872" s="175"/>
      <c r="AP872" s="175"/>
      <c r="AS872" s="3"/>
      <c r="BD872" s="97"/>
      <c r="EL872" s="3"/>
      <c r="EM872" s="3"/>
    </row>
    <row r="873" spans="9:143">
      <c r="I873" s="40"/>
      <c r="J873" s="159" t="s">
        <v>2701</v>
      </c>
      <c r="K873" s="159" t="s">
        <v>2701</v>
      </c>
      <c r="L873" s="41">
        <v>15</v>
      </c>
      <c r="M873" s="41">
        <v>38</v>
      </c>
      <c r="N873" s="41">
        <v>12.9</v>
      </c>
      <c r="O873" s="41">
        <v>36</v>
      </c>
      <c r="P873" s="41">
        <v>14</v>
      </c>
      <c r="Q873" s="41">
        <v>49</v>
      </c>
      <c r="R873" s="30" t="s">
        <v>2702</v>
      </c>
      <c r="S873" s="30" t="s">
        <v>2703</v>
      </c>
      <c r="AJ873" s="175"/>
      <c r="AK873" s="175"/>
      <c r="AL873" s="175"/>
      <c r="AM873" s="175"/>
      <c r="AN873" s="175"/>
      <c r="AO873" s="175"/>
      <c r="AP873" s="175"/>
      <c r="AS873" s="3"/>
      <c r="BD873" s="97"/>
      <c r="EL873" s="3"/>
      <c r="EM873" s="3"/>
    </row>
    <row r="874" spans="9:143">
      <c r="I874" s="40"/>
      <c r="J874" s="159" t="s">
        <v>2704</v>
      </c>
      <c r="K874" s="159" t="s">
        <v>2704</v>
      </c>
      <c r="L874" s="41">
        <v>15</v>
      </c>
      <c r="M874" s="41">
        <v>18</v>
      </c>
      <c r="N874" s="41">
        <v>20.3</v>
      </c>
      <c r="O874" s="41">
        <v>26</v>
      </c>
      <c r="P874" s="41">
        <v>50</v>
      </c>
      <c r="Q874" s="41">
        <v>25</v>
      </c>
      <c r="R874" s="30" t="s">
        <v>2705</v>
      </c>
      <c r="S874" s="30" t="s">
        <v>2703</v>
      </c>
      <c r="AJ874" s="175"/>
      <c r="AK874" s="175"/>
      <c r="AL874" s="175"/>
      <c r="AM874" s="175"/>
      <c r="AN874" s="175"/>
      <c r="AO874" s="175"/>
      <c r="AP874" s="175"/>
      <c r="AS874" s="3"/>
      <c r="BD874" s="97"/>
      <c r="EL874" s="3"/>
      <c r="EM874" s="3"/>
    </row>
    <row r="875" spans="9:143">
      <c r="I875" s="40"/>
      <c r="J875" s="159" t="s">
        <v>2706</v>
      </c>
      <c r="K875" s="159" t="s">
        <v>2706</v>
      </c>
      <c r="L875" s="41">
        <v>15</v>
      </c>
      <c r="M875" s="41">
        <v>54</v>
      </c>
      <c r="N875" s="41">
        <v>56.8</v>
      </c>
      <c r="O875" s="41">
        <v>34</v>
      </c>
      <c r="P875" s="41">
        <v>21</v>
      </c>
      <c r="Q875" s="41">
        <v>45</v>
      </c>
      <c r="R875" s="30" t="s">
        <v>2707</v>
      </c>
      <c r="S875" s="30" t="s">
        <v>2703</v>
      </c>
      <c r="AJ875" s="175"/>
      <c r="AK875" s="175"/>
      <c r="AL875" s="175"/>
      <c r="AM875" s="175"/>
      <c r="AN875" s="175"/>
      <c r="AO875" s="175"/>
      <c r="AP875" s="175"/>
      <c r="AS875" s="3"/>
      <c r="BD875" s="97"/>
      <c r="EL875" s="3"/>
      <c r="EM875" s="3"/>
    </row>
    <row r="876" spans="9:143">
      <c r="I876" s="24" t="s">
        <v>2708</v>
      </c>
      <c r="J876" s="157" t="s">
        <v>2709</v>
      </c>
      <c r="K876" s="157" t="s">
        <v>2709</v>
      </c>
      <c r="L876" s="24" t="s">
        <v>39</v>
      </c>
      <c r="M876" s="24" t="s">
        <v>2708</v>
      </c>
      <c r="N876" s="24" t="s">
        <v>2708</v>
      </c>
      <c r="O876" s="24" t="s">
        <v>40</v>
      </c>
      <c r="P876" s="24" t="s">
        <v>2710</v>
      </c>
      <c r="Q876" s="24" t="s">
        <v>2711</v>
      </c>
      <c r="R876" s="24" t="s">
        <v>2712</v>
      </c>
      <c r="S876" s="24" t="s">
        <v>2710</v>
      </c>
      <c r="AJ876" s="175"/>
      <c r="AK876" s="175"/>
      <c r="AL876" s="175"/>
      <c r="AM876" s="175"/>
      <c r="AN876" s="175"/>
      <c r="AO876" s="175"/>
      <c r="AP876" s="175"/>
      <c r="AS876" s="3"/>
      <c r="BD876" s="97"/>
      <c r="EL876" s="3"/>
      <c r="EM876" s="3"/>
    </row>
    <row r="877" spans="9:143">
      <c r="I877" s="22"/>
      <c r="J877" s="156" t="s">
        <v>2713</v>
      </c>
      <c r="K877" s="156" t="s">
        <v>2713</v>
      </c>
      <c r="L877" s="22">
        <v>5</v>
      </c>
      <c r="M877" s="22">
        <v>55</v>
      </c>
      <c r="N877" s="22">
        <v>10.3</v>
      </c>
      <c r="O877" s="22">
        <v>7</v>
      </c>
      <c r="P877" s="22">
        <v>24</v>
      </c>
      <c r="Q877" s="22">
        <v>25</v>
      </c>
      <c r="R877" s="22" t="s">
        <v>2714</v>
      </c>
      <c r="S877" s="22" t="s">
        <v>2715</v>
      </c>
      <c r="AJ877" s="175"/>
      <c r="AK877" s="175"/>
      <c r="AL877" s="175"/>
      <c r="AM877" s="175"/>
      <c r="AN877" s="175"/>
      <c r="AO877" s="175"/>
      <c r="AP877" s="175"/>
      <c r="AS877" s="3"/>
      <c r="BD877" s="97"/>
      <c r="EL877" s="3"/>
      <c r="EM877" s="3"/>
    </row>
    <row r="878" spans="9:143">
      <c r="I878" s="22"/>
      <c r="J878" s="156" t="s">
        <v>2716</v>
      </c>
      <c r="K878" s="156" t="s">
        <v>2716</v>
      </c>
      <c r="L878" s="22">
        <v>5</v>
      </c>
      <c r="M878" s="22">
        <v>14</v>
      </c>
      <c r="N878" s="22">
        <v>32.299999999999997</v>
      </c>
      <c r="O878" s="22">
        <v>-8</v>
      </c>
      <c r="P878" s="22">
        <v>-12</v>
      </c>
      <c r="Q878" s="22">
        <v>-6</v>
      </c>
      <c r="R878" s="22" t="s">
        <v>2717</v>
      </c>
      <c r="S878" s="22" t="s">
        <v>2718</v>
      </c>
      <c r="AJ878" s="175"/>
      <c r="AK878" s="175"/>
      <c r="AL878" s="175"/>
      <c r="AM878" s="175"/>
      <c r="AN878" s="175"/>
      <c r="AO878" s="175"/>
      <c r="AP878" s="175"/>
      <c r="AS878" s="3"/>
      <c r="BD878" s="97"/>
      <c r="EL878" s="3"/>
      <c r="EM878" s="3"/>
    </row>
    <row r="879" spans="9:143">
      <c r="I879" s="22"/>
      <c r="J879" s="156" t="s">
        <v>2719</v>
      </c>
      <c r="K879" s="156" t="s">
        <v>2719</v>
      </c>
      <c r="L879" s="22">
        <v>5</v>
      </c>
      <c r="M879" s="22">
        <v>25</v>
      </c>
      <c r="N879" s="22">
        <v>7.9</v>
      </c>
      <c r="O879" s="22">
        <v>6</v>
      </c>
      <c r="P879" s="22">
        <v>20</v>
      </c>
      <c r="Q879" s="22">
        <v>59</v>
      </c>
      <c r="R879" s="22" t="s">
        <v>2720</v>
      </c>
      <c r="S879" s="22" t="s">
        <v>2721</v>
      </c>
      <c r="AJ879" s="175"/>
      <c r="AK879" s="175"/>
      <c r="AL879" s="175"/>
      <c r="AM879" s="175"/>
      <c r="AN879" s="175"/>
      <c r="AO879" s="175"/>
      <c r="AP879" s="175"/>
      <c r="AS879" s="3"/>
      <c r="BD879" s="97"/>
      <c r="EL879" s="3"/>
      <c r="EM879" s="3"/>
    </row>
    <row r="880" spans="9:143">
      <c r="I880" s="22"/>
      <c r="J880" s="156" t="s">
        <v>2722</v>
      </c>
      <c r="K880" s="156" t="s">
        <v>2722</v>
      </c>
      <c r="L880" s="22">
        <v>5</v>
      </c>
      <c r="M880" s="22">
        <v>32</v>
      </c>
      <c r="N880" s="22">
        <v>0.4</v>
      </c>
      <c r="O880" s="22">
        <v>0</v>
      </c>
      <c r="P880" s="22">
        <v>-17</v>
      </c>
      <c r="Q880" s="22">
        <v>-57</v>
      </c>
      <c r="R880" s="22" t="s">
        <v>2723</v>
      </c>
      <c r="S880" s="22" t="s">
        <v>2724</v>
      </c>
      <c r="AJ880" s="175"/>
      <c r="AK880" s="175"/>
      <c r="AL880" s="175"/>
      <c r="AM880" s="175"/>
      <c r="AN880" s="175"/>
      <c r="AO880" s="175"/>
      <c r="AP880" s="175"/>
      <c r="AS880" s="3"/>
      <c r="BD880" s="97"/>
      <c r="EL880" s="3"/>
      <c r="EM880" s="3"/>
    </row>
    <row r="881" spans="9:143">
      <c r="I881" s="22"/>
      <c r="J881" s="156" t="s">
        <v>2725</v>
      </c>
      <c r="K881" s="156" t="s">
        <v>2725</v>
      </c>
      <c r="L881" s="22">
        <v>5</v>
      </c>
      <c r="M881" s="22">
        <v>36</v>
      </c>
      <c r="N881" s="22">
        <v>12.8</v>
      </c>
      <c r="O881" s="22">
        <v>-1</v>
      </c>
      <c r="P881" s="22">
        <v>-12</v>
      </c>
      <c r="Q881" s="22">
        <v>-7</v>
      </c>
      <c r="R881" s="22" t="s">
        <v>2726</v>
      </c>
      <c r="S881" s="22" t="s">
        <v>2727</v>
      </c>
      <c r="AJ881" s="175"/>
      <c r="AK881" s="175"/>
      <c r="AL881" s="175"/>
      <c r="AM881" s="175"/>
      <c r="AN881" s="175"/>
      <c r="AO881" s="175"/>
      <c r="AP881" s="175"/>
      <c r="AS881" s="3"/>
      <c r="BD881" s="97"/>
      <c r="EL881" s="3"/>
      <c r="EM881" s="3"/>
    </row>
    <row r="882" spans="9:143">
      <c r="I882" s="22"/>
      <c r="J882" s="156" t="s">
        <v>2728</v>
      </c>
      <c r="K882" s="156" t="s">
        <v>2728</v>
      </c>
      <c r="L882" s="22">
        <v>5</v>
      </c>
      <c r="M882" s="22">
        <v>40</v>
      </c>
      <c r="N882" s="22">
        <v>45.5</v>
      </c>
      <c r="O882" s="22">
        <v>-1</v>
      </c>
      <c r="P882" s="22">
        <v>-56</v>
      </c>
      <c r="Q882" s="22">
        <v>-33</v>
      </c>
      <c r="R882" s="22" t="s">
        <v>2729</v>
      </c>
      <c r="S882" s="22" t="s">
        <v>2730</v>
      </c>
      <c r="AJ882" s="175"/>
      <c r="AK882" s="175"/>
      <c r="AL882" s="175"/>
      <c r="AM882" s="175"/>
      <c r="AN882" s="175"/>
      <c r="AO882" s="175"/>
      <c r="AP882" s="175"/>
      <c r="AS882" s="3"/>
      <c r="BD882" s="97"/>
      <c r="EL882" s="3"/>
      <c r="EM882" s="3"/>
    </row>
    <row r="883" spans="9:143">
      <c r="I883" s="22"/>
      <c r="J883" s="156" t="s">
        <v>2731</v>
      </c>
      <c r="K883" s="156" t="s">
        <v>2731</v>
      </c>
      <c r="L883" s="22">
        <v>5</v>
      </c>
      <c r="M883" s="22">
        <v>24</v>
      </c>
      <c r="N883" s="22">
        <v>28.6</v>
      </c>
      <c r="O883" s="22">
        <v>-2</v>
      </c>
      <c r="P883" s="22">
        <v>-23</v>
      </c>
      <c r="Q883" s="22">
        <v>-50</v>
      </c>
      <c r="R883" s="22" t="s">
        <v>2732</v>
      </c>
      <c r="S883" s="22" t="s">
        <v>2733</v>
      </c>
      <c r="AJ883" s="175"/>
      <c r="AK883" s="175"/>
      <c r="AL883" s="175"/>
      <c r="AM883" s="175"/>
      <c r="AN883" s="175"/>
      <c r="AO883" s="175"/>
      <c r="AP883" s="175"/>
      <c r="AS883" s="3"/>
      <c r="BD883" s="97"/>
      <c r="EL883" s="3"/>
      <c r="EM883" s="3"/>
    </row>
    <row r="884" spans="9:143">
      <c r="I884" s="22"/>
      <c r="J884" s="156" t="s">
        <v>2734</v>
      </c>
      <c r="K884" s="156" t="s">
        <v>2734</v>
      </c>
      <c r="L884" s="22">
        <v>5</v>
      </c>
      <c r="M884" s="22">
        <v>35</v>
      </c>
      <c r="N884" s="22">
        <v>18</v>
      </c>
      <c r="O884" s="22">
        <v>-5</v>
      </c>
      <c r="P884" s="22">
        <v>-24</v>
      </c>
      <c r="Q884" s="22">
        <v>0</v>
      </c>
      <c r="R884" s="22" t="s">
        <v>2735</v>
      </c>
      <c r="S884" s="22" t="s">
        <v>2736</v>
      </c>
      <c r="AJ884" s="175"/>
      <c r="AK884" s="175"/>
      <c r="AL884" s="175"/>
      <c r="AM884" s="175"/>
      <c r="AN884" s="175"/>
      <c r="AO884" s="175"/>
      <c r="AP884" s="175"/>
      <c r="AS884" s="3"/>
      <c r="BD884" s="97"/>
      <c r="EL884" s="3"/>
      <c r="EM884" s="3"/>
    </row>
    <row r="885" spans="9:143">
      <c r="I885" s="22"/>
      <c r="J885" s="156" t="s">
        <v>2737</v>
      </c>
      <c r="K885" s="156" t="s">
        <v>2737</v>
      </c>
      <c r="L885" s="22">
        <v>5</v>
      </c>
      <c r="M885" s="22">
        <v>47</v>
      </c>
      <c r="N885" s="22">
        <v>45.4</v>
      </c>
      <c r="O885" s="22">
        <v>-9</v>
      </c>
      <c r="P885" s="22">
        <v>-40</v>
      </c>
      <c r="Q885" s="22">
        <v>-11</v>
      </c>
      <c r="R885" s="22" t="s">
        <v>2738</v>
      </c>
      <c r="S885" s="22" t="s">
        <v>2739</v>
      </c>
      <c r="AJ885" s="175"/>
      <c r="AK885" s="175"/>
      <c r="AL885" s="175"/>
      <c r="AM885" s="175"/>
      <c r="AN885" s="175"/>
      <c r="AO885" s="175"/>
      <c r="AP885" s="175"/>
      <c r="AS885" s="3"/>
      <c r="BD885" s="97"/>
      <c r="EL885" s="3"/>
      <c r="EM885" s="3"/>
    </row>
    <row r="886" spans="9:143">
      <c r="I886" s="22"/>
      <c r="J886" s="156" t="s">
        <v>2740</v>
      </c>
      <c r="K886" s="156" t="s">
        <v>2740</v>
      </c>
      <c r="L886" s="22">
        <v>5</v>
      </c>
      <c r="M886" s="22">
        <v>35</v>
      </c>
      <c r="N886" s="22">
        <v>8.3000000000000007</v>
      </c>
      <c r="O886" s="22">
        <v>9</v>
      </c>
      <c r="P886" s="22">
        <v>56</v>
      </c>
      <c r="Q886" s="22">
        <v>3</v>
      </c>
      <c r="R886" s="22" t="s">
        <v>2741</v>
      </c>
      <c r="S886" s="22" t="s">
        <v>2742</v>
      </c>
      <c r="AJ886" s="175"/>
      <c r="AK886" s="175"/>
      <c r="AL886" s="175"/>
      <c r="AM886" s="175"/>
      <c r="AN886" s="175"/>
      <c r="AO886" s="175"/>
      <c r="AP886" s="175"/>
      <c r="AS886" s="3"/>
      <c r="BD886" s="97"/>
      <c r="EL886" s="3"/>
      <c r="EM886" s="3"/>
    </row>
    <row r="887" spans="9:143">
      <c r="I887" s="22"/>
      <c r="J887" s="156" t="s">
        <v>2743</v>
      </c>
      <c r="K887" s="156" t="s">
        <v>2743</v>
      </c>
      <c r="L887" s="22">
        <v>5</v>
      </c>
      <c r="M887" s="22">
        <v>38</v>
      </c>
      <c r="N887" s="22">
        <v>44.8</v>
      </c>
      <c r="O887" s="22">
        <v>-2</v>
      </c>
      <c r="P887" s="22">
        <v>-36</v>
      </c>
      <c r="Q887" s="22">
        <v>0</v>
      </c>
      <c r="R887" s="22" t="s">
        <v>2744</v>
      </c>
      <c r="S887" s="22" t="s">
        <v>2745</v>
      </c>
      <c r="AJ887" s="175"/>
      <c r="AK887" s="175"/>
      <c r="AL887" s="175"/>
      <c r="AM887" s="175"/>
      <c r="AN887" s="175"/>
      <c r="AO887" s="175"/>
      <c r="AP887" s="175"/>
      <c r="AS887" s="3"/>
      <c r="BD887" s="97"/>
      <c r="EL887" s="3"/>
      <c r="EM887" s="3"/>
    </row>
    <row r="888" spans="9:143">
      <c r="I888" s="42" t="s">
        <v>2746</v>
      </c>
      <c r="J888" s="465" t="s">
        <v>2747</v>
      </c>
      <c r="K888" s="164" t="s">
        <v>2747</v>
      </c>
      <c r="L888" s="42"/>
      <c r="M888" s="42"/>
      <c r="N888" s="42"/>
      <c r="O888" s="42"/>
      <c r="P888" s="42"/>
      <c r="Q888" s="42"/>
      <c r="R888" s="42"/>
      <c r="S888" s="43"/>
      <c r="AJ888" s="175"/>
      <c r="AK888" s="175"/>
      <c r="AL888" s="175"/>
      <c r="AM888" s="175"/>
      <c r="AN888" s="175"/>
      <c r="AO888" s="175"/>
      <c r="AP888" s="175"/>
      <c r="AS888" s="3"/>
      <c r="BD888" s="97"/>
      <c r="EL888" s="3"/>
      <c r="EM888" s="3"/>
    </row>
    <row r="889" spans="9:143">
      <c r="J889" s="112" t="s">
        <v>2748</v>
      </c>
      <c r="K889" s="112" t="s">
        <v>2748</v>
      </c>
      <c r="L889" s="37">
        <v>21</v>
      </c>
      <c r="M889" s="37">
        <v>59</v>
      </c>
      <c r="N889" s="37">
        <v>60</v>
      </c>
      <c r="O889" s="37">
        <v>29</v>
      </c>
      <c r="P889" s="37">
        <v>59</v>
      </c>
      <c r="Q889" s="37">
        <v>60</v>
      </c>
      <c r="AJ889" s="175"/>
      <c r="AK889" s="175"/>
      <c r="AL889" s="175"/>
      <c r="AM889" s="175"/>
      <c r="AN889" s="175"/>
      <c r="AO889" s="175"/>
      <c r="AP889" s="175"/>
      <c r="AS889" s="3"/>
      <c r="BD889" s="97"/>
      <c r="EL889" s="3"/>
      <c r="EM889" s="3"/>
    </row>
    <row r="890" spans="9:143">
      <c r="J890" s="112" t="s">
        <v>2749</v>
      </c>
      <c r="K890" s="112" t="s">
        <v>2749</v>
      </c>
      <c r="L890" s="37">
        <v>22</v>
      </c>
      <c r="M890" s="37">
        <v>59</v>
      </c>
      <c r="N890" s="37">
        <v>60</v>
      </c>
      <c r="O890" s="37">
        <v>49</v>
      </c>
      <c r="P890" s="37">
        <v>59</v>
      </c>
      <c r="Q890" s="37">
        <v>60</v>
      </c>
      <c r="AJ890" s="175"/>
      <c r="AK890" s="175"/>
      <c r="AL890" s="175"/>
      <c r="AM890" s="175"/>
      <c r="AN890" s="175"/>
      <c r="AO890" s="175"/>
      <c r="AP890" s="175"/>
      <c r="AS890" s="3"/>
      <c r="BD890" s="97"/>
      <c r="EL890" s="3"/>
      <c r="EM890" s="3"/>
    </row>
    <row r="891" spans="9:143">
      <c r="J891" s="112" t="s">
        <v>2750</v>
      </c>
      <c r="K891" s="112" t="s">
        <v>2750</v>
      </c>
      <c r="L891" s="37">
        <v>19</v>
      </c>
      <c r="M891" s="37">
        <v>59.5</v>
      </c>
      <c r="N891" s="37">
        <v>30</v>
      </c>
      <c r="O891" s="37">
        <v>9</v>
      </c>
      <c r="P891" s="37">
        <v>59.5</v>
      </c>
      <c r="Q891" s="37">
        <v>30</v>
      </c>
      <c r="AJ891" s="175"/>
      <c r="AK891" s="175"/>
      <c r="AL891" s="175"/>
      <c r="AM891" s="175"/>
      <c r="AN891" s="175"/>
      <c r="AO891" s="175"/>
      <c r="AP891" s="175"/>
      <c r="AS891" s="3"/>
      <c r="BD891" s="97"/>
      <c r="EL891" s="3"/>
      <c r="EM891" s="3"/>
    </row>
    <row r="892" spans="9:143">
      <c r="J892" s="112" t="s">
        <v>2751</v>
      </c>
      <c r="K892" s="112" t="s">
        <v>2751</v>
      </c>
      <c r="L892" s="37">
        <v>0</v>
      </c>
      <c r="M892" s="37">
        <v>59</v>
      </c>
      <c r="N892" s="37">
        <v>60</v>
      </c>
      <c r="O892" s="37">
        <v>-29</v>
      </c>
      <c r="P892" s="37">
        <v>-59</v>
      </c>
      <c r="Q892" s="37">
        <v>-60</v>
      </c>
      <c r="AJ892" s="175"/>
      <c r="AK892" s="175"/>
      <c r="AL892" s="175"/>
      <c r="AM892" s="175"/>
      <c r="AN892" s="175"/>
      <c r="AO892" s="175"/>
      <c r="AP892" s="175"/>
      <c r="AS892" s="3"/>
      <c r="BD892" s="97"/>
      <c r="EL892" s="3"/>
      <c r="EM892" s="3"/>
    </row>
    <row r="893" spans="9:143">
      <c r="J893" s="112" t="s">
        <v>2752</v>
      </c>
      <c r="K893" s="112" t="s">
        <v>2752</v>
      </c>
      <c r="L893" s="37">
        <v>21</v>
      </c>
      <c r="M893" s="37">
        <v>59</v>
      </c>
      <c r="N893" s="37">
        <v>60</v>
      </c>
      <c r="O893" s="37">
        <v>-9</v>
      </c>
      <c r="P893" s="37">
        <v>-59</v>
      </c>
      <c r="Q893" s="37">
        <v>-60</v>
      </c>
      <c r="AJ893" s="175"/>
      <c r="AK893" s="175"/>
      <c r="AL893" s="175"/>
      <c r="AM893" s="175"/>
      <c r="AN893" s="175"/>
      <c r="AO893" s="175"/>
      <c r="AP893" s="175"/>
      <c r="AS893" s="3"/>
      <c r="BD893" s="97"/>
      <c r="EL893" s="3"/>
      <c r="EM893" s="3"/>
    </row>
    <row r="894" spans="9:143">
      <c r="I894" s="42" t="s">
        <v>2746</v>
      </c>
      <c r="J894" s="465" t="s">
        <v>2753</v>
      </c>
      <c r="K894" s="164" t="s">
        <v>2753</v>
      </c>
      <c r="L894" s="42"/>
      <c r="M894" s="42"/>
      <c r="N894" s="42"/>
      <c r="O894" s="42"/>
      <c r="P894" s="42"/>
      <c r="Q894" s="42"/>
      <c r="R894" s="42"/>
      <c r="S894" s="43"/>
      <c r="AJ894" s="175"/>
      <c r="AK894" s="175"/>
      <c r="AL894" s="175"/>
      <c r="AM894" s="175"/>
      <c r="AN894" s="175"/>
      <c r="AO894" s="175"/>
      <c r="AP894" s="175"/>
      <c r="AS894" s="3"/>
      <c r="BD894" s="97"/>
      <c r="EL894" s="3"/>
      <c r="EM894" s="3"/>
    </row>
    <row r="895" spans="9:143">
      <c r="I895" s="22"/>
      <c r="J895" s="156" t="s">
        <v>2754</v>
      </c>
      <c r="K895" s="156" t="s">
        <v>2754</v>
      </c>
      <c r="L895" s="22">
        <v>32</v>
      </c>
      <c r="M895" s="22">
        <v>17</v>
      </c>
      <c r="N895" s="22">
        <v>14</v>
      </c>
      <c r="O895" s="22">
        <v>29</v>
      </c>
      <c r="P895" s="22">
        <v>59</v>
      </c>
      <c r="Q895" s="22">
        <v>23</v>
      </c>
      <c r="R895" s="22" t="s">
        <v>3113</v>
      </c>
      <c r="S895" s="22" t="s">
        <v>3113</v>
      </c>
      <c r="AJ895" s="175"/>
      <c r="AK895" s="175"/>
      <c r="AL895" s="175"/>
      <c r="AM895" s="175"/>
      <c r="AN895" s="175"/>
      <c r="AO895" s="175"/>
      <c r="AP895" s="175"/>
      <c r="AS895" s="3"/>
      <c r="BD895" s="97"/>
      <c r="EL895" s="3"/>
      <c r="EM895" s="3"/>
    </row>
    <row r="896" spans="9:143">
      <c r="I896" s="22"/>
      <c r="J896" s="156" t="s">
        <v>2755</v>
      </c>
      <c r="K896" s="156" t="s">
        <v>2755</v>
      </c>
      <c r="L896" s="37">
        <v>-1</v>
      </c>
      <c r="M896" s="37">
        <v>-34</v>
      </c>
      <c r="N896" s="37">
        <v>-56</v>
      </c>
      <c r="O896" s="37">
        <v>10</v>
      </c>
      <c r="P896" s="37">
        <v>23</v>
      </c>
      <c r="Q896" s="37">
        <v>4</v>
      </c>
      <c r="R896" s="22" t="s">
        <v>3262</v>
      </c>
      <c r="S896" s="22" t="s">
        <v>3262</v>
      </c>
      <c r="AJ896" s="175"/>
      <c r="AK896" s="175"/>
      <c r="AL896" s="175"/>
      <c r="AM896" s="175"/>
      <c r="AN896" s="175"/>
      <c r="AO896" s="175"/>
      <c r="AP896" s="175"/>
      <c r="AS896" s="3"/>
      <c r="BD896" s="97"/>
      <c r="EL896" s="3"/>
      <c r="EM896" s="3"/>
    </row>
    <row r="897" spans="9:143">
      <c r="I897" s="22"/>
      <c r="J897" s="156" t="s">
        <v>2756</v>
      </c>
      <c r="K897" s="156" t="s">
        <v>2756</v>
      </c>
      <c r="L897" s="22">
        <v>1</v>
      </c>
      <c r="M897" s="22">
        <v>59</v>
      </c>
      <c r="N897" s="22">
        <v>30</v>
      </c>
      <c r="O897" s="22">
        <v>323</v>
      </c>
      <c r="P897" s="22">
        <v>10</v>
      </c>
      <c r="Q897" s="22">
        <v>3</v>
      </c>
      <c r="R897" s="22" t="s">
        <v>3114</v>
      </c>
      <c r="S897" s="22" t="s">
        <v>3114</v>
      </c>
      <c r="AJ897" s="175"/>
      <c r="AK897" s="175"/>
      <c r="AL897" s="175"/>
      <c r="AM897" s="175"/>
      <c r="AN897" s="175"/>
      <c r="AO897" s="175"/>
      <c r="AP897" s="175"/>
      <c r="AS897" s="3"/>
      <c r="BD897" s="97"/>
      <c r="EL897" s="3"/>
      <c r="EM897" s="3"/>
    </row>
    <row r="898" spans="9:143">
      <c r="I898" s="22"/>
      <c r="J898" s="156" t="s">
        <v>2757</v>
      </c>
      <c r="K898" s="156" t="s">
        <v>2757</v>
      </c>
      <c r="L898" s="22">
        <v>22</v>
      </c>
      <c r="M898" s="22">
        <v>59</v>
      </c>
      <c r="N898" s="22">
        <v>45</v>
      </c>
      <c r="O898" s="22">
        <v>-91</v>
      </c>
      <c r="P898" s="22">
        <v>-1</v>
      </c>
      <c r="Q898" s="22">
        <v>-34</v>
      </c>
      <c r="R898" s="22" t="s">
        <v>3115</v>
      </c>
      <c r="S898" s="22" t="s">
        <v>3115</v>
      </c>
      <c r="AJ898" s="175"/>
      <c r="AK898" s="175"/>
      <c r="AL898" s="175"/>
      <c r="AM898" s="175"/>
      <c r="AN898" s="175"/>
      <c r="AO898" s="175"/>
      <c r="AP898" s="175"/>
      <c r="AS898" s="3"/>
      <c r="BD898" s="97"/>
      <c r="EL898" s="3"/>
      <c r="EM898" s="3"/>
    </row>
    <row r="899" spans="9:143">
      <c r="I899" s="22"/>
      <c r="J899" s="156" t="s">
        <v>2758</v>
      </c>
      <c r="K899" s="156" t="s">
        <v>2758</v>
      </c>
      <c r="L899" s="22">
        <v>1</v>
      </c>
      <c r="M899" s="22">
        <v>59</v>
      </c>
      <c r="N899" s="22">
        <v>45</v>
      </c>
      <c r="O899" s="22">
        <v>-30</v>
      </c>
      <c r="P899" s="22">
        <v>0</v>
      </c>
      <c r="Q899" s="22">
        <v>60</v>
      </c>
      <c r="R899" s="22" t="s">
        <v>3132</v>
      </c>
      <c r="S899" s="38" t="s">
        <v>3015</v>
      </c>
      <c r="AJ899" s="175"/>
      <c r="AK899" s="175"/>
      <c r="AL899" s="175"/>
      <c r="AM899" s="175"/>
      <c r="AN899" s="175"/>
      <c r="AO899" s="175"/>
      <c r="AP899" s="175"/>
      <c r="AS899" s="3"/>
      <c r="BD899" s="97"/>
      <c r="EL899" s="3"/>
      <c r="EM899" s="3"/>
    </row>
    <row r="900" spans="9:143">
      <c r="I900" s="22"/>
      <c r="J900" s="159" t="s">
        <v>3133</v>
      </c>
      <c r="K900" s="159" t="s">
        <v>3133</v>
      </c>
      <c r="L900" s="30">
        <v>15</v>
      </c>
      <c r="M900" s="30">
        <v>59</v>
      </c>
      <c r="N900" s="30">
        <v>45</v>
      </c>
      <c r="O900" s="30">
        <v>0</v>
      </c>
      <c r="P900" s="30">
        <v>-10</v>
      </c>
      <c r="Q900" s="30">
        <v>25</v>
      </c>
      <c r="R900" s="22" t="s">
        <v>3132</v>
      </c>
      <c r="S900" s="38" t="s">
        <v>3015</v>
      </c>
      <c r="AJ900" s="175"/>
      <c r="AK900" s="175"/>
      <c r="AL900" s="175"/>
      <c r="AM900" s="175"/>
      <c r="AN900" s="175"/>
      <c r="AO900" s="175"/>
      <c r="AP900" s="175"/>
      <c r="AS900" s="3"/>
      <c r="BD900" s="97"/>
      <c r="EL900" s="3"/>
      <c r="EM900" s="3"/>
    </row>
    <row r="901" spans="9:143">
      <c r="I901" s="22"/>
      <c r="J901" s="159" t="s">
        <v>3134</v>
      </c>
      <c r="K901" s="159" t="s">
        <v>3134</v>
      </c>
      <c r="L901" s="30">
        <v>13</v>
      </c>
      <c r="M901" s="30">
        <v>59</v>
      </c>
      <c r="N901" s="30">
        <v>45</v>
      </c>
      <c r="O901" s="30">
        <v>30</v>
      </c>
      <c r="P901" s="30">
        <v>10</v>
      </c>
      <c r="Q901" s="30">
        <v>-25</v>
      </c>
      <c r="R901" s="22" t="s">
        <v>3132</v>
      </c>
      <c r="S901" s="38" t="s">
        <v>3015</v>
      </c>
      <c r="AJ901" s="175"/>
      <c r="AK901" s="175"/>
      <c r="AL901" s="175"/>
      <c r="AM901" s="175"/>
      <c r="AN901" s="175"/>
      <c r="AO901" s="175"/>
      <c r="AP901" s="175"/>
      <c r="AS901" s="3"/>
      <c r="BD901" s="97"/>
      <c r="EL901" s="3"/>
      <c r="EM901" s="3"/>
    </row>
    <row r="902" spans="9:143">
      <c r="I902" s="22"/>
      <c r="J902" s="159" t="s">
        <v>3135</v>
      </c>
      <c r="K902" s="159" t="s">
        <v>3135</v>
      </c>
      <c r="L902" s="30">
        <v>-13</v>
      </c>
      <c r="M902" s="30">
        <v>59</v>
      </c>
      <c r="N902" s="30">
        <v>0</v>
      </c>
      <c r="O902" s="30">
        <v>30</v>
      </c>
      <c r="P902" s="30">
        <v>10</v>
      </c>
      <c r="Q902" s="30">
        <v>25</v>
      </c>
      <c r="R902" s="22" t="s">
        <v>3132</v>
      </c>
      <c r="S902" s="38" t="s">
        <v>3136</v>
      </c>
      <c r="AJ902" s="175"/>
      <c r="AK902" s="175"/>
      <c r="AL902" s="175"/>
      <c r="AM902" s="175"/>
      <c r="AN902" s="175"/>
      <c r="AO902" s="175"/>
      <c r="AP902" s="175"/>
      <c r="AS902" s="3"/>
      <c r="BD902" s="97"/>
      <c r="EL902" s="3"/>
      <c r="EM902" s="3"/>
    </row>
    <row r="903" spans="9:143">
      <c r="I903" s="22"/>
      <c r="J903" s="159" t="s">
        <v>3137</v>
      </c>
      <c r="K903" s="159" t="s">
        <v>3137</v>
      </c>
      <c r="L903" s="30">
        <v>13</v>
      </c>
      <c r="M903" s="30">
        <v>-59</v>
      </c>
      <c r="N903" s="30">
        <v>45</v>
      </c>
      <c r="O903" s="30">
        <v>30</v>
      </c>
      <c r="P903" s="30">
        <v>10</v>
      </c>
      <c r="Q903" s="30">
        <v>25</v>
      </c>
      <c r="R903" s="22" t="s">
        <v>3132</v>
      </c>
      <c r="S903" s="38" t="s">
        <v>3136</v>
      </c>
      <c r="AJ903" s="175"/>
      <c r="AK903" s="175"/>
      <c r="AL903" s="175"/>
      <c r="AM903" s="175"/>
      <c r="AN903" s="175"/>
      <c r="AO903" s="175"/>
      <c r="AP903" s="175"/>
      <c r="AS903" s="3"/>
      <c r="BD903" s="97"/>
      <c r="EL903" s="3"/>
      <c r="EM903" s="3"/>
    </row>
    <row r="904" spans="9:143">
      <c r="I904" s="22"/>
      <c r="J904" s="159" t="s">
        <v>2759</v>
      </c>
      <c r="K904" s="159" t="s">
        <v>2759</v>
      </c>
      <c r="L904" s="30">
        <v>13</v>
      </c>
      <c r="M904" s="30">
        <v>0</v>
      </c>
      <c r="N904" s="30">
        <v>-30</v>
      </c>
      <c r="O904" s="30">
        <v>30</v>
      </c>
      <c r="P904" s="30">
        <v>0</v>
      </c>
      <c r="Q904" s="30">
        <v>25</v>
      </c>
      <c r="R904" s="22" t="s">
        <v>3132</v>
      </c>
      <c r="S904" s="38" t="s">
        <v>3136</v>
      </c>
      <c r="AJ904" s="175"/>
      <c r="AK904" s="175"/>
      <c r="AL904" s="175"/>
      <c r="AM904" s="175"/>
      <c r="AN904" s="175"/>
      <c r="AO904" s="175"/>
      <c r="AP904" s="175"/>
      <c r="AS904" s="3"/>
      <c r="EL904" s="3"/>
      <c r="EM904" s="3"/>
    </row>
    <row r="905" spans="9:143">
      <c r="I905" s="22"/>
      <c r="J905" s="159" t="s">
        <v>2760</v>
      </c>
      <c r="K905" s="159" t="s">
        <v>2760</v>
      </c>
      <c r="L905" s="30">
        <v>29</v>
      </c>
      <c r="M905" s="30">
        <v>-59</v>
      </c>
      <c r="N905" s="30">
        <v>60</v>
      </c>
      <c r="O905" s="30">
        <v>301</v>
      </c>
      <c r="P905" s="30">
        <v>0</v>
      </c>
      <c r="Q905" s="30">
        <v>-25</v>
      </c>
      <c r="R905" s="22" t="s">
        <v>3125</v>
      </c>
      <c r="S905" s="38" t="s">
        <v>3138</v>
      </c>
      <c r="AJ905" s="175"/>
      <c r="AK905" s="175"/>
      <c r="AL905" s="175"/>
      <c r="AM905" s="175"/>
      <c r="AN905" s="175"/>
      <c r="AO905" s="175"/>
      <c r="AP905" s="175"/>
      <c r="AS905" s="3"/>
      <c r="EL905" s="3"/>
      <c r="EM905" s="3"/>
    </row>
    <row r="906" spans="9:143">
      <c r="I906" s="22"/>
      <c r="J906" s="159" t="s">
        <v>2761</v>
      </c>
      <c r="K906" s="159" t="s">
        <v>2761</v>
      </c>
      <c r="L906" s="30">
        <v>29</v>
      </c>
      <c r="M906" s="30" t="s">
        <v>3195</v>
      </c>
      <c r="N906" s="30">
        <v>60</v>
      </c>
      <c r="O906" s="30" t="s">
        <v>16</v>
      </c>
      <c r="P906" s="30">
        <v>10</v>
      </c>
      <c r="Q906" s="30">
        <v>0</v>
      </c>
      <c r="R906" s="22" t="s">
        <v>3194</v>
      </c>
      <c r="S906" s="22" t="s">
        <v>3194</v>
      </c>
      <c r="AJ906" s="175"/>
      <c r="AK906" s="175"/>
      <c r="AL906" s="175"/>
      <c r="AM906" s="175"/>
      <c r="AN906" s="175"/>
      <c r="AO906" s="175"/>
      <c r="AP906" s="175"/>
      <c r="AS906" s="3"/>
      <c r="EL906" s="3"/>
      <c r="EM906" s="3"/>
    </row>
    <row r="907" spans="9:143">
      <c r="I907" s="22"/>
      <c r="J907" s="159" t="s">
        <v>2762</v>
      </c>
      <c r="K907" s="159" t="s">
        <v>2762</v>
      </c>
      <c r="L907" s="30">
        <v>29</v>
      </c>
      <c r="M907" s="30">
        <v>58</v>
      </c>
      <c r="N907" s="30">
        <v>60</v>
      </c>
      <c r="O907" s="30">
        <v>30</v>
      </c>
      <c r="P907" s="30">
        <v>-10</v>
      </c>
      <c r="Q907" s="30">
        <v>0</v>
      </c>
      <c r="AJ907" s="175"/>
      <c r="AK907" s="175"/>
      <c r="AL907" s="175"/>
      <c r="AM907" s="175"/>
      <c r="AN907" s="175"/>
      <c r="AO907" s="175"/>
      <c r="AP907" s="175"/>
      <c r="AS907" s="3"/>
      <c r="EL907" s="3"/>
      <c r="EM907" s="3"/>
    </row>
    <row r="908" spans="9:143">
      <c r="I908" s="42" t="s">
        <v>2746</v>
      </c>
      <c r="J908" s="465" t="s">
        <v>2763</v>
      </c>
      <c r="K908" s="164" t="s">
        <v>2763</v>
      </c>
      <c r="L908" s="42"/>
      <c r="M908" s="42"/>
      <c r="N908" s="42"/>
      <c r="O908" s="42"/>
      <c r="P908" s="42"/>
      <c r="Q908" s="42"/>
      <c r="R908" s="42"/>
      <c r="S908" s="43"/>
      <c r="AJ908" s="175"/>
      <c r="AK908" s="175"/>
      <c r="AL908" s="175"/>
      <c r="AM908" s="175"/>
      <c r="AN908" s="175"/>
      <c r="AO908" s="175"/>
      <c r="AP908" s="175"/>
      <c r="AS908" s="3"/>
      <c r="EL908" s="3"/>
      <c r="EM908" s="3"/>
    </row>
    <row r="909" spans="9:143">
      <c r="J909" s="112" t="s">
        <v>2764</v>
      </c>
      <c r="K909" s="112" t="s">
        <v>2764</v>
      </c>
      <c r="L909" s="37">
        <v>17</v>
      </c>
      <c r="M909" s="37">
        <v>59</v>
      </c>
      <c r="N909" s="37">
        <v>60</v>
      </c>
      <c r="O909" s="37">
        <v>89</v>
      </c>
      <c r="P909" s="37">
        <v>59</v>
      </c>
      <c r="Q909" s="37">
        <v>60</v>
      </c>
      <c r="AJ909" s="175"/>
      <c r="AK909" s="175"/>
      <c r="AL909" s="175"/>
      <c r="AM909" s="175"/>
      <c r="AN909" s="175"/>
      <c r="AO909" s="175"/>
      <c r="AP909" s="175"/>
      <c r="AS909" s="3"/>
      <c r="EL909" s="3"/>
      <c r="EM909" s="3"/>
    </row>
    <row r="910" spans="9:143">
      <c r="J910" s="112" t="s">
        <v>2765</v>
      </c>
      <c r="K910" s="112" t="s">
        <v>2765</v>
      </c>
      <c r="L910" s="37">
        <v>5</v>
      </c>
      <c r="M910" s="37">
        <v>59</v>
      </c>
      <c r="N910" s="37">
        <v>60</v>
      </c>
      <c r="O910" s="37">
        <v>-89</v>
      </c>
      <c r="P910" s="37">
        <v>-59</v>
      </c>
      <c r="Q910" s="37">
        <v>-60</v>
      </c>
      <c r="AJ910" s="175"/>
      <c r="AK910" s="175"/>
      <c r="AL910" s="175"/>
      <c r="AM910" s="175"/>
      <c r="AN910" s="175"/>
      <c r="AO910" s="175"/>
      <c r="AP910" s="175"/>
      <c r="AS910" s="3"/>
      <c r="EL910" s="3"/>
      <c r="EM910" s="3"/>
    </row>
    <row r="911" spans="9:143">
      <c r="J911" s="112" t="s">
        <v>4026</v>
      </c>
      <c r="K911" s="112" t="s">
        <v>4026</v>
      </c>
      <c r="L911" s="37" t="s">
        <v>4029</v>
      </c>
      <c r="M911" s="37" t="s">
        <v>4030</v>
      </c>
      <c r="N911" s="37" t="s">
        <v>4031</v>
      </c>
      <c r="O911" s="37" t="str">
        <f>""</f>
        <v/>
      </c>
      <c r="P911" s="37" t="s">
        <v>4027</v>
      </c>
      <c r="Q911" s="37" t="s">
        <v>4028</v>
      </c>
      <c r="R911" s="22" t="s">
        <v>4047</v>
      </c>
      <c r="S911" s="38" t="s">
        <v>4048</v>
      </c>
      <c r="AJ911" s="175"/>
      <c r="AK911" s="175"/>
      <c r="AL911" s="175"/>
      <c r="AM911" s="175"/>
      <c r="AN911" s="175"/>
      <c r="AO911" s="175"/>
      <c r="AP911" s="175"/>
      <c r="AS911" s="3"/>
      <c r="EL911" s="3"/>
      <c r="EM911" s="3"/>
    </row>
    <row r="912" spans="9:143">
      <c r="J912" s="112" t="s">
        <v>4036</v>
      </c>
      <c r="K912" s="112" t="s">
        <v>4036</v>
      </c>
      <c r="L912" s="37" t="s">
        <v>2886</v>
      </c>
      <c r="M912" s="37" t="s">
        <v>4037</v>
      </c>
      <c r="N912" s="37" t="s">
        <v>4038</v>
      </c>
      <c r="O912" s="37" t="s">
        <v>4039</v>
      </c>
      <c r="P912" s="37" t="s">
        <v>4040</v>
      </c>
      <c r="Q912" s="37" t="s">
        <v>4041</v>
      </c>
      <c r="R912" s="22" t="s">
        <v>4042</v>
      </c>
      <c r="S912" s="38" t="s">
        <v>4043</v>
      </c>
      <c r="AJ912" s="175"/>
      <c r="AK912" s="175"/>
      <c r="AL912" s="175"/>
      <c r="AM912" s="175"/>
      <c r="AN912" s="175"/>
      <c r="AO912" s="175"/>
      <c r="AP912" s="175"/>
      <c r="AS912" s="3"/>
      <c r="EL912" s="3"/>
      <c r="EM912" s="3"/>
    </row>
    <row r="913" spans="9:143">
      <c r="I913" s="44" t="s">
        <v>2766</v>
      </c>
      <c r="J913" s="466" t="s">
        <v>2767</v>
      </c>
      <c r="K913" s="165" t="s">
        <v>2767</v>
      </c>
      <c r="L913" s="44" t="s">
        <v>2768</v>
      </c>
      <c r="M913" s="44" t="s">
        <v>2769</v>
      </c>
      <c r="N913" s="44" t="s">
        <v>2770</v>
      </c>
      <c r="O913" s="44" t="s">
        <v>2771</v>
      </c>
      <c r="P913" s="44" t="s">
        <v>2772</v>
      </c>
      <c r="Q913" s="44" t="s">
        <v>2770</v>
      </c>
      <c r="R913" s="44"/>
      <c r="S913" s="45"/>
      <c r="AS913" s="3"/>
      <c r="EL913" s="3"/>
      <c r="EM913" s="3"/>
    </row>
    <row r="914" spans="9:143">
      <c r="I914" s="44" t="s">
        <v>2766</v>
      </c>
      <c r="J914" s="466" t="s">
        <v>2877</v>
      </c>
      <c r="K914" s="165" t="s">
        <v>2877</v>
      </c>
      <c r="L914" s="44" t="s">
        <v>2887</v>
      </c>
      <c r="M914" s="44" t="s">
        <v>2886</v>
      </c>
      <c r="N914" s="44" t="s">
        <v>2885</v>
      </c>
      <c r="O914" s="44" t="s">
        <v>2880</v>
      </c>
      <c r="P914" s="44" t="s">
        <v>14</v>
      </c>
      <c r="Q914" s="44" t="str">
        <f>""</f>
        <v/>
      </c>
      <c r="R914" s="45" t="s">
        <v>2881</v>
      </c>
      <c r="S914" s="45" t="s">
        <v>2881</v>
      </c>
      <c r="EL914" s="3"/>
      <c r="EM914" s="3"/>
    </row>
    <row r="915" spans="9:143">
      <c r="I915" s="44" t="s">
        <v>2766</v>
      </c>
      <c r="J915" s="466" t="s">
        <v>3200</v>
      </c>
      <c r="K915" s="165" t="s">
        <v>3200</v>
      </c>
      <c r="L915" s="44" t="str">
        <f>""</f>
        <v/>
      </c>
      <c r="M915" s="44" t="str">
        <f>""</f>
        <v/>
      </c>
      <c r="N915" s="44" t="str">
        <f>""</f>
        <v/>
      </c>
      <c r="O915" s="44" t="str">
        <f>""</f>
        <v/>
      </c>
      <c r="P915" s="44" t="str">
        <f>""</f>
        <v/>
      </c>
      <c r="Q915" s="44" t="str">
        <f>""</f>
        <v/>
      </c>
      <c r="R915" s="45" t="str">
        <f>""</f>
        <v/>
      </c>
      <c r="S915" s="45" t="str">
        <f>""</f>
        <v/>
      </c>
      <c r="EL915" s="3"/>
      <c r="EM915" s="3"/>
    </row>
    <row r="916" spans="9:143">
      <c r="I916" s="284" t="s">
        <v>3163</v>
      </c>
      <c r="J916" s="163"/>
      <c r="K916" s="163"/>
      <c r="L916" s="46"/>
      <c r="M916" s="46"/>
      <c r="N916" s="46"/>
      <c r="O916" s="46"/>
      <c r="P916" s="46"/>
      <c r="Q916" s="46"/>
      <c r="R916" s="46"/>
      <c r="S916" s="47"/>
      <c r="V916" s="5"/>
      <c r="W916" s="5"/>
      <c r="X916" s="283" t="s">
        <v>3101</v>
      </c>
      <c r="Y916" s="5"/>
      <c r="Z916" s="342"/>
      <c r="AA916" s="5"/>
      <c r="AB916" s="5"/>
      <c r="AC916" s="5"/>
      <c r="AD916" s="5"/>
      <c r="AE916" s="5"/>
      <c r="AF916" s="5"/>
      <c r="AG916" s="5"/>
      <c r="EL916" s="3"/>
      <c r="EM916" s="3"/>
    </row>
    <row r="917" spans="9:143">
      <c r="EL917" s="3"/>
      <c r="EM917" s="3"/>
    </row>
    <row r="918" spans="9:143">
      <c r="EL918" s="3"/>
      <c r="EM918" s="3"/>
    </row>
    <row r="919" spans="9:143">
      <c r="EL919" s="3"/>
      <c r="EM919" s="3"/>
    </row>
    <row r="920" spans="9:143">
      <c r="EL920" s="3"/>
      <c r="EM920" s="3"/>
    </row>
    <row r="921" spans="9:143">
      <c r="EL921" s="3"/>
      <c r="EM921" s="3"/>
    </row>
    <row r="922" spans="9:143">
      <c r="EL922" s="3"/>
      <c r="EM922" s="3"/>
    </row>
    <row r="923" spans="9:143">
      <c r="EL923" s="3"/>
      <c r="EM923" s="3"/>
    </row>
    <row r="924" spans="9:143">
      <c r="EL924" s="3"/>
      <c r="EM924" s="3"/>
    </row>
    <row r="925" spans="9:143">
      <c r="EL925" s="3"/>
      <c r="EM925" s="3"/>
    </row>
    <row r="926" spans="9:143">
      <c r="EL926" s="3"/>
      <c r="EM926" s="3"/>
    </row>
    <row r="927" spans="9:143">
      <c r="EL927" s="3"/>
      <c r="EM927" s="3"/>
    </row>
    <row r="928" spans="9:143">
      <c r="EL928" s="3"/>
      <c r="EM928" s="3"/>
    </row>
    <row r="929" spans="142:143">
      <c r="EL929" s="3"/>
      <c r="EM929" s="3"/>
    </row>
    <row r="930" spans="142:143">
      <c r="EL930" s="3"/>
      <c r="EM930" s="3"/>
    </row>
    <row r="931" spans="142:143">
      <c r="EL931" s="3"/>
      <c r="EM931" s="3"/>
    </row>
    <row r="932" spans="142:143">
      <c r="EL932" s="3"/>
      <c r="EM932" s="3"/>
    </row>
    <row r="933" spans="142:143">
      <c r="EL933" s="3"/>
      <c r="EM933" s="3"/>
    </row>
    <row r="934" spans="142:143">
      <c r="EL934" s="3"/>
      <c r="EM934" s="3"/>
    </row>
    <row r="935" spans="142:143">
      <c r="EL935" s="3"/>
      <c r="EM935" s="3"/>
    </row>
    <row r="936" spans="142:143">
      <c r="EL936" s="3"/>
      <c r="EM936" s="3"/>
    </row>
    <row r="937" spans="142:143">
      <c r="EL937" s="3"/>
      <c r="EM937" s="3"/>
    </row>
    <row r="938" spans="142:143">
      <c r="EL938" s="3"/>
      <c r="EM938" s="3"/>
    </row>
    <row r="939" spans="142:143">
      <c r="EL939" s="3"/>
      <c r="EM939" s="3"/>
    </row>
    <row r="940" spans="142:143">
      <c r="EL940" s="3"/>
      <c r="EM940" s="3"/>
    </row>
    <row r="941" spans="142:143">
      <c r="EL941" s="3"/>
      <c r="EM941" s="3"/>
    </row>
    <row r="942" spans="142:143">
      <c r="EL942" s="3"/>
      <c r="EM942" s="3"/>
    </row>
    <row r="943" spans="142:143">
      <c r="EL943" s="3"/>
      <c r="EM943" s="3"/>
    </row>
    <row r="944" spans="142:143">
      <c r="EL944" s="3"/>
      <c r="EM944" s="3"/>
    </row>
    <row r="945" spans="142:143">
      <c r="EL945" s="3"/>
      <c r="EM945" s="3"/>
    </row>
    <row r="946" spans="142:143">
      <c r="EL946" s="3"/>
      <c r="EM946" s="3"/>
    </row>
    <row r="947" spans="142:143">
      <c r="EL947" s="3"/>
      <c r="EM947" s="3"/>
    </row>
    <row r="948" spans="142:143">
      <c r="EL948" s="3"/>
      <c r="EM948" s="3"/>
    </row>
    <row r="949" spans="142:143">
      <c r="EL949" s="3"/>
      <c r="EM949" s="3"/>
    </row>
    <row r="950" spans="142:143">
      <c r="EL950" s="3"/>
      <c r="EM950" s="3"/>
    </row>
    <row r="951" spans="142:143">
      <c r="EL951" s="3"/>
      <c r="EM951" s="3"/>
    </row>
    <row r="952" spans="142:143">
      <c r="EL952" s="3"/>
      <c r="EM952" s="3"/>
    </row>
    <row r="953" spans="142:143">
      <c r="EL953" s="3"/>
      <c r="EM953" s="3"/>
    </row>
    <row r="954" spans="142:143">
      <c r="EL954" s="3"/>
      <c r="EM954" s="3"/>
    </row>
    <row r="955" spans="142:143">
      <c r="EL955" s="3"/>
      <c r="EM955" s="3"/>
    </row>
    <row r="956" spans="142:143">
      <c r="EL956" s="3"/>
      <c r="EM956" s="3"/>
    </row>
    <row r="957" spans="142:143">
      <c r="EL957" s="3"/>
      <c r="EM957" s="3"/>
    </row>
    <row r="958" spans="142:143">
      <c r="EL958" s="3"/>
      <c r="EM958" s="3"/>
    </row>
    <row r="959" spans="142:143">
      <c r="EL959" s="3"/>
      <c r="EM959" s="3"/>
    </row>
    <row r="960" spans="142:143">
      <c r="EL960" s="3"/>
      <c r="EM960" s="3"/>
    </row>
    <row r="961" spans="142:143">
      <c r="EL961" s="3"/>
      <c r="EM961" s="3"/>
    </row>
    <row r="962" spans="142:143">
      <c r="EL962" s="3"/>
      <c r="EM962" s="3"/>
    </row>
    <row r="963" spans="142:143">
      <c r="EL963" s="3"/>
      <c r="EM963" s="3"/>
    </row>
    <row r="964" spans="142:143">
      <c r="EL964" s="3"/>
      <c r="EM964" s="3"/>
    </row>
    <row r="965" spans="142:143">
      <c r="EL965" s="3"/>
      <c r="EM965" s="3"/>
    </row>
    <row r="966" spans="142:143">
      <c r="EL966" s="3"/>
      <c r="EM966" s="3"/>
    </row>
    <row r="967" spans="142:143">
      <c r="EL967" s="3"/>
      <c r="EM967" s="3"/>
    </row>
    <row r="968" spans="142:143">
      <c r="EL968" s="3"/>
      <c r="EM968" s="3"/>
    </row>
    <row r="969" spans="142:143">
      <c r="EL969" s="3"/>
      <c r="EM969" s="3"/>
    </row>
    <row r="970" spans="142:143">
      <c r="EL970" s="3"/>
      <c r="EM970" s="3"/>
    </row>
    <row r="971" spans="142:143">
      <c r="EL971" s="3"/>
      <c r="EM971" s="3"/>
    </row>
    <row r="972" spans="142:143">
      <c r="EL972" s="3"/>
      <c r="EM972" s="3"/>
    </row>
    <row r="973" spans="142:143">
      <c r="EL973" s="3"/>
      <c r="EM973" s="3"/>
    </row>
    <row r="974" spans="142:143">
      <c r="EL974" s="3"/>
      <c r="EM974" s="3"/>
    </row>
    <row r="975" spans="142:143">
      <c r="EL975" s="3"/>
      <c r="EM975" s="3"/>
    </row>
    <row r="976" spans="142:143">
      <c r="EL976" s="3"/>
      <c r="EM976" s="3"/>
    </row>
    <row r="977" spans="142:143">
      <c r="EL977" s="3"/>
      <c r="EM977" s="3"/>
    </row>
    <row r="978" spans="142:143">
      <c r="EL978" s="3"/>
      <c r="EM978" s="3"/>
    </row>
    <row r="979" spans="142:143">
      <c r="EL979" s="3"/>
      <c r="EM979" s="3"/>
    </row>
    <row r="980" spans="142:143">
      <c r="EL980" s="3"/>
      <c r="EM980" s="3"/>
    </row>
    <row r="981" spans="142:143">
      <c r="EL981" s="3"/>
      <c r="EM981" s="3"/>
    </row>
    <row r="982" spans="142:143">
      <c r="EL982" s="3"/>
      <c r="EM982" s="3"/>
    </row>
    <row r="983" spans="142:143">
      <c r="EL983" s="3"/>
      <c r="EM983" s="3"/>
    </row>
    <row r="984" spans="142:143">
      <c r="EL984" s="3"/>
      <c r="EM984" s="3"/>
    </row>
    <row r="985" spans="142:143">
      <c r="EL985" s="3"/>
      <c r="EM985" s="3"/>
    </row>
    <row r="986" spans="142:143">
      <c r="EL986" s="3"/>
      <c r="EM986" s="3"/>
    </row>
    <row r="987" spans="142:143">
      <c r="EL987" s="3"/>
      <c r="EM987" s="3"/>
    </row>
    <row r="988" spans="142:143">
      <c r="EL988" s="3"/>
      <c r="EM988" s="3"/>
    </row>
    <row r="989" spans="142:143">
      <c r="EL989" s="3"/>
      <c r="EM989" s="3"/>
    </row>
    <row r="990" spans="142:143">
      <c r="EL990" s="3"/>
      <c r="EM990" s="3"/>
    </row>
    <row r="991" spans="142:143">
      <c r="EL991" s="3"/>
      <c r="EM991" s="3"/>
    </row>
    <row r="992" spans="142:143">
      <c r="EL992" s="3"/>
      <c r="EM992" s="3"/>
    </row>
    <row r="993" spans="142:143">
      <c r="EL993" s="3"/>
      <c r="EM993" s="3"/>
    </row>
    <row r="994" spans="142:143">
      <c r="EL994" s="3"/>
      <c r="EM994" s="3"/>
    </row>
    <row r="995" spans="142:143">
      <c r="EL995" s="3"/>
      <c r="EM995" s="3"/>
    </row>
    <row r="996" spans="142:143">
      <c r="EL996" s="3"/>
      <c r="EM996" s="3"/>
    </row>
    <row r="997" spans="142:143">
      <c r="EL997" s="3"/>
      <c r="EM997" s="3"/>
    </row>
    <row r="998" spans="142:143">
      <c r="EL998" s="3"/>
      <c r="EM998" s="3"/>
    </row>
    <row r="999" spans="142:143">
      <c r="EL999" s="3"/>
      <c r="EM999" s="3"/>
    </row>
    <row r="1000" spans="142:143">
      <c r="EL1000" s="3"/>
      <c r="EM1000" s="3"/>
    </row>
    <row r="1001" spans="142:143">
      <c r="EL1001" s="3"/>
      <c r="EM1001" s="3"/>
    </row>
    <row r="1002" spans="142:143">
      <c r="EL1002" s="3"/>
      <c r="EM1002" s="3"/>
    </row>
    <row r="1003" spans="142:143">
      <c r="EL1003" s="3"/>
      <c r="EM1003" s="3"/>
    </row>
    <row r="1004" spans="142:143">
      <c r="EL1004" s="3"/>
      <c r="EM1004" s="3"/>
    </row>
    <row r="1005" spans="142:143">
      <c r="EL1005" s="3"/>
      <c r="EM1005" s="3"/>
    </row>
    <row r="1006" spans="142:143">
      <c r="EL1006" s="3"/>
      <c r="EM1006" s="3"/>
    </row>
    <row r="1007" spans="142:143">
      <c r="EL1007" s="3"/>
      <c r="EM1007" s="3"/>
    </row>
    <row r="1008" spans="142:143">
      <c r="EL1008" s="3"/>
      <c r="EM1008" s="3"/>
    </row>
    <row r="1009" spans="142:143">
      <c r="EL1009" s="3"/>
      <c r="EM1009" s="3"/>
    </row>
    <row r="1010" spans="142:143">
      <c r="EL1010" s="3"/>
      <c r="EM1010" s="3"/>
    </row>
    <row r="1011" spans="142:143">
      <c r="EL1011" s="3"/>
      <c r="EM1011" s="3"/>
    </row>
    <row r="1012" spans="142:143">
      <c r="EL1012" s="3"/>
      <c r="EM1012" s="3"/>
    </row>
    <row r="1013" spans="142:143">
      <c r="EL1013" s="3"/>
      <c r="EM1013" s="3"/>
    </row>
    <row r="1014" spans="142:143">
      <c r="EL1014" s="3"/>
      <c r="EM1014" s="3"/>
    </row>
    <row r="1015" spans="142:143">
      <c r="EL1015" s="3"/>
      <c r="EM1015" s="3"/>
    </row>
    <row r="1016" spans="142:143">
      <c r="EL1016" s="3"/>
      <c r="EM1016" s="3"/>
    </row>
    <row r="1017" spans="142:143">
      <c r="EL1017" s="3"/>
      <c r="EM1017" s="3"/>
    </row>
    <row r="1018" spans="142:143">
      <c r="EL1018" s="3"/>
      <c r="EM1018" s="3"/>
    </row>
    <row r="1019" spans="142:143">
      <c r="EL1019" s="3"/>
      <c r="EM1019" s="3"/>
    </row>
    <row r="1020" spans="142:143">
      <c r="EL1020" s="3"/>
      <c r="EM1020" s="3"/>
    </row>
    <row r="1021" spans="142:143">
      <c r="EL1021" s="3"/>
      <c r="EM1021" s="3"/>
    </row>
    <row r="1022" spans="142:143">
      <c r="EL1022" s="3"/>
      <c r="EM1022" s="3"/>
    </row>
    <row r="1023" spans="142:143">
      <c r="EL1023" s="3"/>
      <c r="EM1023" s="3"/>
    </row>
    <row r="1024" spans="142:143">
      <c r="EL1024" s="3"/>
      <c r="EM1024" s="3"/>
    </row>
    <row r="1025" spans="142:143">
      <c r="EL1025" s="3"/>
      <c r="EM1025" s="3"/>
    </row>
    <row r="1026" spans="142:143">
      <c r="EL1026" s="3"/>
      <c r="EM1026" s="3"/>
    </row>
    <row r="1027" spans="142:143">
      <c r="EL1027" s="3"/>
      <c r="EM1027" s="3"/>
    </row>
    <row r="1028" spans="142:143">
      <c r="EL1028" s="3"/>
      <c r="EM1028" s="3"/>
    </row>
    <row r="1029" spans="142:143">
      <c r="EL1029" s="3"/>
      <c r="EM1029" s="3"/>
    </row>
    <row r="1030" spans="142:143">
      <c r="EL1030" s="3"/>
      <c r="EM1030" s="3"/>
    </row>
    <row r="1031" spans="142:143">
      <c r="EL1031" s="3"/>
      <c r="EM1031" s="3"/>
    </row>
    <row r="1032" spans="142:143">
      <c r="EL1032" s="3"/>
      <c r="EM1032" s="3"/>
    </row>
    <row r="1033" spans="142:143">
      <c r="EL1033" s="3"/>
      <c r="EM1033" s="3"/>
    </row>
    <row r="1034" spans="142:143">
      <c r="EL1034" s="3"/>
      <c r="EM1034" s="3"/>
    </row>
    <row r="1035" spans="142:143">
      <c r="EL1035" s="3"/>
      <c r="EM1035" s="3"/>
    </row>
    <row r="1036" spans="142:143">
      <c r="EL1036" s="3"/>
      <c r="EM1036" s="3"/>
    </row>
    <row r="1037" spans="142:143">
      <c r="EL1037" s="3"/>
      <c r="EM1037" s="3"/>
    </row>
    <row r="1038" spans="142:143">
      <c r="EL1038" s="3"/>
      <c r="EM1038" s="3"/>
    </row>
    <row r="1039" spans="142:143">
      <c r="EL1039" s="3"/>
      <c r="EM1039" s="3"/>
    </row>
    <row r="1040" spans="142:143">
      <c r="EL1040" s="3"/>
      <c r="EM1040" s="3"/>
    </row>
    <row r="1041" spans="142:143">
      <c r="EL1041" s="3"/>
      <c r="EM1041" s="3"/>
    </row>
    <row r="1042" spans="142:143">
      <c r="EL1042" s="3"/>
      <c r="EM1042" s="3"/>
    </row>
    <row r="1043" spans="142:143">
      <c r="EL1043" s="3"/>
      <c r="EM1043" s="3"/>
    </row>
    <row r="1044" spans="142:143">
      <c r="EL1044" s="3"/>
      <c r="EM1044" s="3"/>
    </row>
    <row r="1045" spans="142:143">
      <c r="EL1045" s="3"/>
      <c r="EM1045" s="3"/>
    </row>
    <row r="1046" spans="142:143">
      <c r="EL1046" s="3"/>
      <c r="EM1046" s="3"/>
    </row>
    <row r="1047" spans="142:143">
      <c r="EL1047" s="3"/>
      <c r="EM1047" s="3"/>
    </row>
    <row r="1048" spans="142:143">
      <c r="EL1048" s="3"/>
      <c r="EM1048" s="3"/>
    </row>
    <row r="1049" spans="142:143">
      <c r="EL1049" s="3"/>
      <c r="EM1049" s="3"/>
    </row>
  </sheetData>
  <sortState ref="EI18:EI19">
    <sortCondition ref="EI17"/>
  </sortState>
  <mergeCells count="4">
    <mergeCell ref="AP134:AQ134"/>
    <mergeCell ref="AT134:AU134"/>
    <mergeCell ref="AT145:AU145"/>
    <mergeCell ref="AT146:AU146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3</vt:i4>
      </vt:variant>
    </vt:vector>
  </HeadingPairs>
  <TitlesOfParts>
    <vt:vector size="3" baseType="lpstr">
      <vt:lpstr>Φύλλο1</vt:lpstr>
      <vt:lpstr>Φύλλο2</vt:lpstr>
      <vt:lpstr>Φύλλο3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Giannis</dc:creator>
  <cp:lastModifiedBy>Giannis</cp:lastModifiedBy>
  <dcterms:created xsi:type="dcterms:W3CDTF">2016-03-25T04:53:34Z</dcterms:created>
  <dcterms:modified xsi:type="dcterms:W3CDTF">2018-03-07T04:10:04Z</dcterms:modified>
</cp:coreProperties>
</file>