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9260" windowHeight="11955" activeTab="1"/>
  </bookViews>
  <sheets>
    <sheet name="Φύλλο1" sheetId="1" r:id="rId1"/>
    <sheet name="Φύλλο2" sheetId="2" r:id="rId2"/>
    <sheet name="Φύλλο3" sheetId="3" r:id="rId3"/>
  </sheets>
  <calcPr calcId="125725"/>
</workbook>
</file>

<file path=xl/calcChain.xml><?xml version="1.0" encoding="utf-8"?>
<calcChain xmlns="http://schemas.openxmlformats.org/spreadsheetml/2006/main">
  <c r="AE83" i="1"/>
  <c r="AD83"/>
  <c r="AC83"/>
  <c r="AB83"/>
  <c r="AF8"/>
  <c r="AE8"/>
  <c r="AD8"/>
  <c r="AC8"/>
  <c r="AB8"/>
  <c r="AA8"/>
  <c r="AN48" i="2" l="1"/>
  <c r="AN47"/>
  <c r="CA135" i="3"/>
  <c r="CA136" s="1"/>
  <c r="CA137" s="1"/>
  <c r="CA134"/>
  <c r="CA125"/>
  <c r="CA119"/>
  <c r="AO48" i="2" l="1"/>
  <c r="AO47"/>
  <c r="AS79" i="3"/>
  <c r="BK71"/>
  <c r="BK68"/>
  <c r="BK64"/>
  <c r="BK65" s="1"/>
  <c r="BK66" s="1"/>
  <c r="CA48"/>
  <c r="CA49" s="1"/>
  <c r="CA47"/>
  <c r="CA38"/>
  <c r="CA32"/>
  <c r="U32"/>
  <c r="U18"/>
  <c r="CA50" l="1"/>
  <c r="AL36" i="2" l="1"/>
  <c r="AL41" s="1"/>
  <c r="AS47" s="1"/>
  <c r="AL38" l="1"/>
  <c r="AP47" s="1"/>
  <c r="AL42"/>
  <c r="AT47" s="1"/>
  <c r="AL40"/>
  <c r="AR47" s="1"/>
  <c r="AL37"/>
  <c r="AL39"/>
  <c r="AQ47" s="1"/>
  <c r="AM48"/>
  <c r="AG54" l="1"/>
  <c r="AG55"/>
  <c r="AM47"/>
  <c r="AM49" s="1"/>
  <c r="V3" i="3" s="1"/>
  <c r="AP48" i="2"/>
  <c r="AP49" s="1"/>
  <c r="V5" i="3" s="1"/>
  <c r="V76" l="1"/>
  <c r="V91" s="1"/>
  <c r="X82" s="1"/>
  <c r="X91" s="1"/>
  <c r="V75"/>
  <c r="V117" s="1"/>
  <c r="V129" s="1"/>
  <c r="I18"/>
  <c r="AQ48" i="2"/>
  <c r="AQ49" s="1"/>
  <c r="V6" i="3" s="1"/>
  <c r="V77" l="1"/>
  <c r="V36"/>
  <c r="I66"/>
  <c r="V15"/>
  <c r="V16" s="1"/>
  <c r="V17" s="1"/>
  <c r="G66"/>
  <c r="BR5"/>
  <c r="BR6" s="1"/>
  <c r="AG91"/>
  <c r="AP24"/>
  <c r="AP45" s="1"/>
  <c r="AA9"/>
  <c r="AB11" s="1"/>
  <c r="G18"/>
  <c r="J66"/>
  <c r="J18"/>
  <c r="BK88" i="1"/>
  <c r="BG88"/>
  <c r="BK45"/>
  <c r="BG45"/>
  <c r="V111" i="3" l="1"/>
  <c r="V101"/>
  <c r="V38"/>
  <c r="BR10"/>
  <c r="BO10"/>
  <c r="BO11" s="1"/>
  <c r="BO12" s="1"/>
  <c r="BO13" s="1"/>
  <c r="BO14" s="1"/>
  <c r="BO15" s="1"/>
  <c r="BO16" s="1"/>
  <c r="BO17" s="1"/>
  <c r="BO18" s="1"/>
  <c r="BO19" s="1"/>
  <c r="BO20" s="1"/>
  <c r="BO21" s="1"/>
  <c r="BO22" s="1"/>
  <c r="BO25" s="1"/>
  <c r="BR54"/>
  <c r="CA11" s="1"/>
  <c r="CA98" s="1"/>
  <c r="V21"/>
  <c r="AH116"/>
  <c r="AG116"/>
  <c r="AB12"/>
  <c r="AB13" s="1"/>
  <c r="AB14" s="1"/>
  <c r="AB15" s="1"/>
  <c r="AB16" s="1"/>
  <c r="AB17" s="1"/>
  <c r="AB18" s="1"/>
  <c r="AC11"/>
  <c r="AC12" s="1"/>
  <c r="AC13" s="1"/>
  <c r="AC14" s="1"/>
  <c r="AC15" s="1"/>
  <c r="AC16" s="1"/>
  <c r="AC17" s="1"/>
  <c r="AC18" s="1"/>
  <c r="AH57" i="2"/>
  <c r="AG57"/>
  <c r="AF57"/>
  <c r="AE57"/>
  <c r="AH55"/>
  <c r="AF55"/>
  <c r="AE55"/>
  <c r="AH54"/>
  <c r="AF54"/>
  <c r="AE54"/>
  <c r="AF43"/>
  <c r="AF44" s="1"/>
  <c r="AF45" s="1"/>
  <c r="AF46" s="1"/>
  <c r="AF47" s="1"/>
  <c r="AL45" s="1"/>
  <c r="AL46" s="1"/>
  <c r="AP25" i="3" l="1"/>
  <c r="AP46"/>
  <c r="Z23"/>
  <c r="Z42" s="1"/>
  <c r="Z47" s="1"/>
  <c r="AS38" s="1"/>
  <c r="K17"/>
  <c r="K65"/>
  <c r="AO49" i="2"/>
  <c r="AN49"/>
  <c r="V11" i="3" s="1"/>
  <c r="N43" i="2"/>
  <c r="N13"/>
  <c r="AU49" i="1"/>
  <c r="AO75" s="1"/>
  <c r="AF48" i="2"/>
  <c r="N69" s="1"/>
  <c r="AD52"/>
  <c r="V4" i="3" l="1"/>
  <c r="V23" s="1"/>
  <c r="V24" s="1"/>
  <c r="V46"/>
  <c r="V51" s="1"/>
  <c r="AP27"/>
  <c r="AP31"/>
  <c r="AP48"/>
  <c r="AP52"/>
  <c r="AH60" i="2"/>
  <c r="AO66" i="1" s="1"/>
  <c r="AJ10" s="1"/>
  <c r="Y5" s="1"/>
  <c r="Y6" s="1"/>
  <c r="Y8" s="1"/>
  <c r="Y9" s="1"/>
  <c r="Y10" s="1"/>
  <c r="Y11" s="1"/>
  <c r="Y13" s="1"/>
  <c r="Y15" s="1"/>
  <c r="AJ12" s="1"/>
  <c r="AJ13" s="1"/>
  <c r="AJ14" s="1"/>
  <c r="AJ15" s="1"/>
  <c r="AJ18" s="1"/>
  <c r="AG60" i="2"/>
  <c r="AE60"/>
  <c r="AU60" i="1" s="1"/>
  <c r="AJ8" s="1"/>
  <c r="T9" s="1"/>
  <c r="T13" s="1"/>
  <c r="T16" s="1"/>
  <c r="AF60" i="2"/>
  <c r="AU61" i="1" s="1"/>
  <c r="AJ9" s="1"/>
  <c r="T10" s="1"/>
  <c r="T14" s="1"/>
  <c r="T29" s="1"/>
  <c r="T18" l="1"/>
  <c r="T22" s="1"/>
  <c r="T23" s="1"/>
  <c r="T24" s="1"/>
  <c r="T26" s="1"/>
  <c r="T152" s="1"/>
  <c r="T17"/>
  <c r="T19" s="1"/>
  <c r="T20" s="1"/>
  <c r="T21" s="1"/>
  <c r="T25" s="1"/>
  <c r="T46" s="1"/>
  <c r="T47" s="1"/>
  <c r="T48" s="1"/>
  <c r="T49" s="1"/>
  <c r="T50" s="1"/>
  <c r="T51" s="1"/>
  <c r="T52" s="1"/>
  <c r="T53" s="1"/>
  <c r="T54" s="1"/>
  <c r="T55" s="1"/>
  <c r="T56" s="1"/>
  <c r="T57" s="1"/>
  <c r="T58" s="1"/>
  <c r="T59" s="1"/>
  <c r="T60" s="1"/>
  <c r="T61" s="1"/>
  <c r="T62" s="1"/>
  <c r="T63" s="1"/>
  <c r="T64" s="1"/>
  <c r="T65" s="1"/>
  <c r="T66" s="1"/>
  <c r="T67" s="1"/>
  <c r="T68" s="1"/>
  <c r="T69" s="1"/>
  <c r="T70" s="1"/>
  <c r="T71" s="1"/>
  <c r="T72" s="1"/>
  <c r="T73" s="1"/>
  <c r="T74" s="1"/>
  <c r="T75" s="1"/>
  <c r="T76" s="1"/>
  <c r="T77" s="1"/>
  <c r="T78" s="1"/>
  <c r="T79" s="1"/>
  <c r="T80" s="1"/>
  <c r="T81" s="1"/>
  <c r="T82" s="1"/>
  <c r="T83" s="1"/>
  <c r="T84" s="1"/>
  <c r="T85" s="1"/>
  <c r="T86" s="1"/>
  <c r="T87" s="1"/>
  <c r="T88" s="1"/>
  <c r="T89" s="1"/>
  <c r="T90" s="1"/>
  <c r="T91" s="1"/>
  <c r="T92" s="1"/>
  <c r="T93" s="1"/>
  <c r="T94" s="1"/>
  <c r="T95" s="1"/>
  <c r="T96" s="1"/>
  <c r="T97" s="1"/>
  <c r="T98" s="1"/>
  <c r="T99" s="1"/>
  <c r="T100" s="1"/>
  <c r="T101" s="1"/>
  <c r="T102" s="1"/>
  <c r="T103" s="1"/>
  <c r="T107" s="1"/>
  <c r="T108" s="1"/>
  <c r="T109" s="1"/>
  <c r="T110" s="1"/>
  <c r="T111" s="1"/>
  <c r="T112" s="1"/>
  <c r="T113" s="1"/>
  <c r="T114" s="1"/>
  <c r="T115" s="1"/>
  <c r="T116" s="1"/>
  <c r="T117" s="1"/>
  <c r="T118" s="1"/>
  <c r="T119" s="1"/>
  <c r="T120" s="1"/>
  <c r="T121" s="1"/>
  <c r="T122" s="1"/>
  <c r="T123" s="1"/>
  <c r="T124" s="1"/>
  <c r="T125" s="1"/>
  <c r="T126" s="1"/>
  <c r="T127" s="1"/>
  <c r="T128" s="1"/>
  <c r="T129" s="1"/>
  <c r="T130" s="1"/>
  <c r="T131" s="1"/>
  <c r="T132" s="1"/>
  <c r="T133" s="1"/>
  <c r="T134" s="1"/>
  <c r="T135" s="1"/>
  <c r="T136" s="1"/>
  <c r="T137" s="1"/>
  <c r="T138" s="1"/>
  <c r="T139" s="1"/>
  <c r="T140" s="1"/>
  <c r="T141" s="1"/>
  <c r="T142" s="1"/>
  <c r="T143" s="1"/>
  <c r="T144" s="1"/>
  <c r="T145" s="1"/>
  <c r="T146" s="1"/>
  <c r="T147" s="1"/>
  <c r="T150" s="1"/>
  <c r="T30"/>
  <c r="T32" s="1"/>
  <c r="T33" s="1"/>
  <c r="T34" s="1"/>
  <c r="T38" s="1"/>
  <c r="U46" s="1"/>
  <c r="U47" s="1"/>
  <c r="U48" s="1"/>
  <c r="U49" s="1"/>
  <c r="U50" s="1"/>
  <c r="U51" s="1"/>
  <c r="U52" s="1"/>
  <c r="U53" s="1"/>
  <c r="U54" s="1"/>
  <c r="U55" s="1"/>
  <c r="U56" s="1"/>
  <c r="U57" s="1"/>
  <c r="U58" s="1"/>
  <c r="U59" s="1"/>
  <c r="U60" s="1"/>
  <c r="U61" s="1"/>
  <c r="U62" s="1"/>
  <c r="U63" s="1"/>
  <c r="U64" s="1"/>
  <c r="U65" s="1"/>
  <c r="U66" s="1"/>
  <c r="U67" s="1"/>
  <c r="U68" s="1"/>
  <c r="U69" s="1"/>
  <c r="U70" s="1"/>
  <c r="U71" s="1"/>
  <c r="U72" s="1"/>
  <c r="U73" s="1"/>
  <c r="U74" s="1"/>
  <c r="U75" s="1"/>
  <c r="U76" s="1"/>
  <c r="U77" s="1"/>
  <c r="U78" s="1"/>
  <c r="U79" s="1"/>
  <c r="U80" s="1"/>
  <c r="U81" s="1"/>
  <c r="U82" s="1"/>
  <c r="U83" s="1"/>
  <c r="U84" s="1"/>
  <c r="U85" s="1"/>
  <c r="U86" s="1"/>
  <c r="U87" s="1"/>
  <c r="U88" s="1"/>
  <c r="U89" s="1"/>
  <c r="U90" s="1"/>
  <c r="U91" s="1"/>
  <c r="U92" s="1"/>
  <c r="U93" s="1"/>
  <c r="U94" s="1"/>
  <c r="U95" s="1"/>
  <c r="U96" s="1"/>
  <c r="U97" s="1"/>
  <c r="U98" s="1"/>
  <c r="U99" s="1"/>
  <c r="U100" s="1"/>
  <c r="U101" s="1"/>
  <c r="U102" s="1"/>
  <c r="U103" s="1"/>
  <c r="U107" s="1"/>
  <c r="U108" s="1"/>
  <c r="U109" s="1"/>
  <c r="U110" s="1"/>
  <c r="U111" s="1"/>
  <c r="U112" s="1"/>
  <c r="U113" s="1"/>
  <c r="U114" s="1"/>
  <c r="U115" s="1"/>
  <c r="U116" s="1"/>
  <c r="U117" s="1"/>
  <c r="U118" s="1"/>
  <c r="U119" s="1"/>
  <c r="U120" s="1"/>
  <c r="U121" s="1"/>
  <c r="U122" s="1"/>
  <c r="U123" s="1"/>
  <c r="U124" s="1"/>
  <c r="U125" s="1"/>
  <c r="U126" s="1"/>
  <c r="U127" s="1"/>
  <c r="U128" s="1"/>
  <c r="U129" s="1"/>
  <c r="U130" s="1"/>
  <c r="U131" s="1"/>
  <c r="U132" s="1"/>
  <c r="U133" s="1"/>
  <c r="U134" s="1"/>
  <c r="U135" s="1"/>
  <c r="U136" s="1"/>
  <c r="U137" s="1"/>
  <c r="U138" s="1"/>
  <c r="U139" s="1"/>
  <c r="U140" s="1"/>
  <c r="U141" s="1"/>
  <c r="U142" s="1"/>
  <c r="U143" s="1"/>
  <c r="U144" s="1"/>
  <c r="U145" s="1"/>
  <c r="U146" s="1"/>
  <c r="U147" s="1"/>
  <c r="T157" s="1"/>
  <c r="T31"/>
  <c r="T35" s="1"/>
  <c r="T36" s="1"/>
  <c r="T37" s="1"/>
  <c r="T39" s="1"/>
  <c r="T159" s="1"/>
  <c r="AJ19"/>
  <c r="AJ24" s="1"/>
  <c r="AJ25" s="1"/>
  <c r="AV66" s="1"/>
  <c r="AJ22"/>
  <c r="AR66" s="1"/>
  <c r="AJ28"/>
  <c r="AJ21"/>
  <c r="AP66" s="1"/>
  <c r="AJ26"/>
  <c r="AX66" s="1"/>
  <c r="V27" i="3"/>
  <c r="V28" s="1"/>
  <c r="V29" s="1"/>
  <c r="AS39" s="1"/>
  <c r="AS49" s="1"/>
  <c r="AS50" s="1"/>
  <c r="V26"/>
  <c r="V58"/>
  <c r="V47"/>
  <c r="V49" s="1"/>
  <c r="V50" s="1"/>
  <c r="V74" s="1"/>
  <c r="V52"/>
  <c r="V53" s="1"/>
  <c r="AW51" i="1"/>
  <c r="BO12" s="1"/>
  <c r="BR11" l="1"/>
  <c r="BR18" s="1"/>
  <c r="BR19" s="1"/>
  <c r="BR20" s="1"/>
  <c r="BO91"/>
  <c r="BR90" s="1"/>
  <c r="BR97" s="1"/>
  <c r="BR98" s="1"/>
  <c r="BR99" s="1"/>
  <c r="V30" i="3"/>
  <c r="CA12"/>
  <c r="CA23" s="1"/>
  <c r="CA24" s="1"/>
  <c r="CA25" s="1"/>
  <c r="CA26" s="1"/>
  <c r="T151" i="1"/>
  <c r="T153"/>
  <c r="T158"/>
  <c r="T160"/>
  <c r="AJ30"/>
  <c r="AP65" s="1"/>
  <c r="AJ31"/>
  <c r="AP64" s="1"/>
  <c r="V31" i="3"/>
  <c r="V35" s="1"/>
  <c r="L22" s="1"/>
  <c r="V57"/>
  <c r="V59" s="1"/>
  <c r="CA99"/>
  <c r="V55"/>
  <c r="V56"/>
  <c r="V54"/>
  <c r="L21" s="1"/>
  <c r="V69" l="1"/>
  <c r="V72" s="1"/>
  <c r="K61" i="2" s="1"/>
  <c r="T154" i="1"/>
  <c r="T155" s="1"/>
  <c r="B5" s="1"/>
  <c r="T161"/>
  <c r="T162" s="1"/>
  <c r="C5" s="1"/>
  <c r="V60" i="3"/>
  <c r="K20" s="1"/>
  <c r="L70"/>
  <c r="L69"/>
  <c r="AQ35" i="2" l="1"/>
  <c r="AS72" i="3"/>
  <c r="AS80" s="1"/>
  <c r="K31" i="2"/>
  <c r="V71" i="3"/>
  <c r="P28" i="2" s="1"/>
  <c r="P58" s="1"/>
  <c r="B6" i="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139" s="1"/>
  <c r="B140" s="1"/>
  <c r="B141" s="1"/>
  <c r="B142" s="1"/>
  <c r="B143" s="1"/>
  <c r="B144" s="1"/>
  <c r="B145" s="1"/>
  <c r="B146" s="1"/>
  <c r="B147" s="1"/>
  <c r="B148" s="1"/>
  <c r="B149" s="1"/>
  <c r="B150" s="1"/>
  <c r="B151" s="1"/>
  <c r="B152" s="1"/>
  <c r="B153" s="1"/>
  <c r="B154" s="1"/>
  <c r="B155" s="1"/>
  <c r="B156" s="1"/>
  <c r="B157" s="1"/>
  <c r="B158" s="1"/>
  <c r="B159" s="1"/>
  <c r="B160" s="1"/>
  <c r="B161" s="1"/>
  <c r="B162" s="1"/>
  <c r="B163" s="1"/>
  <c r="B164" s="1"/>
  <c r="B165" s="1"/>
  <c r="B166" s="1"/>
  <c r="B167" s="1"/>
  <c r="B168" s="1"/>
  <c r="B169" s="1"/>
  <c r="B170" s="1"/>
  <c r="B171" s="1"/>
  <c r="B172" s="1"/>
  <c r="B173" s="1"/>
  <c r="B174" s="1"/>
  <c r="B175" s="1"/>
  <c r="B176" s="1"/>
  <c r="B177" s="1"/>
  <c r="B178" s="1"/>
  <c r="B179" s="1"/>
  <c r="B180" s="1"/>
  <c r="B181" s="1"/>
  <c r="B182" s="1"/>
  <c r="B183" s="1"/>
  <c r="B184" s="1"/>
  <c r="B185" s="1"/>
  <c r="B186" s="1"/>
  <c r="B187" s="1"/>
  <c r="B188" s="1"/>
  <c r="B189" s="1"/>
  <c r="B190" s="1"/>
  <c r="B191" s="1"/>
  <c r="B192" s="1"/>
  <c r="B193" s="1"/>
  <c r="B194" s="1"/>
  <c r="B195" s="1"/>
  <c r="B196" s="1"/>
  <c r="B197" s="1"/>
  <c r="B198" s="1"/>
  <c r="B199" s="1"/>
  <c r="B200" s="1"/>
  <c r="B201" s="1"/>
  <c r="B202" s="1"/>
  <c r="B203" s="1"/>
  <c r="B204" s="1"/>
  <c r="B205" s="1"/>
  <c r="B206" s="1"/>
  <c r="B207" s="1"/>
  <c r="B208" s="1"/>
  <c r="B209" s="1"/>
  <c r="B210" s="1"/>
  <c r="B211" s="1"/>
  <c r="B212" s="1"/>
  <c r="B213" s="1"/>
  <c r="B214" s="1"/>
  <c r="B215" s="1"/>
  <c r="B216" s="1"/>
  <c r="B217" s="1"/>
  <c r="B218" s="1"/>
  <c r="B219" s="1"/>
  <c r="B220" s="1"/>
  <c r="B221" s="1"/>
  <c r="B222" s="1"/>
  <c r="B223" s="1"/>
  <c r="B224" s="1"/>
  <c r="B225" s="1"/>
  <c r="B226" s="1"/>
  <c r="B227" s="1"/>
  <c r="B228" s="1"/>
  <c r="B229" s="1"/>
  <c r="B230" s="1"/>
  <c r="B231" s="1"/>
  <c r="B232" s="1"/>
  <c r="B233" s="1"/>
  <c r="B234" s="1"/>
  <c r="B235" s="1"/>
  <c r="B236" s="1"/>
  <c r="B237" s="1"/>
  <c r="B238" s="1"/>
  <c r="B239" s="1"/>
  <c r="B240" s="1"/>
  <c r="B241" s="1"/>
  <c r="B242" s="1"/>
  <c r="B243" s="1"/>
  <c r="B244" s="1"/>
  <c r="B245" s="1"/>
  <c r="B246" s="1"/>
  <c r="B247" s="1"/>
  <c r="B248" s="1"/>
  <c r="B249" s="1"/>
  <c r="B250" s="1"/>
  <c r="B251" s="1"/>
  <c r="B252" s="1"/>
  <c r="B253" s="1"/>
  <c r="B254" s="1"/>
  <c r="B255" s="1"/>
  <c r="B256" s="1"/>
  <c r="B257" s="1"/>
  <c r="B258" s="1"/>
  <c r="B259" s="1"/>
  <c r="B260" s="1"/>
  <c r="B261" s="1"/>
  <c r="B262" s="1"/>
  <c r="B263" s="1"/>
  <c r="B264" s="1"/>
  <c r="B265" s="1"/>
  <c r="B266" s="1"/>
  <c r="B267" s="1"/>
  <c r="B268" s="1"/>
  <c r="B269" s="1"/>
  <c r="B270" s="1"/>
  <c r="B271" s="1"/>
  <c r="B272" s="1"/>
  <c r="B273" s="1"/>
  <c r="B274" s="1"/>
  <c r="B275" s="1"/>
  <c r="B276" s="1"/>
  <c r="B277" s="1"/>
  <c r="B278" s="1"/>
  <c r="B279" s="1"/>
  <c r="B280" s="1"/>
  <c r="B281" s="1"/>
  <c r="B282" s="1"/>
  <c r="B283" s="1"/>
  <c r="B284" s="1"/>
  <c r="B285" s="1"/>
  <c r="B286" s="1"/>
  <c r="B287" s="1"/>
  <c r="B288" s="1"/>
  <c r="B289" s="1"/>
  <c r="B290" s="1"/>
  <c r="B291" s="1"/>
  <c r="B292" s="1"/>
  <c r="B293" s="1"/>
  <c r="B294" s="1"/>
  <c r="B295" s="1"/>
  <c r="B296" s="1"/>
  <c r="B297" s="1"/>
  <c r="B298" s="1"/>
  <c r="B299" s="1"/>
  <c r="B300" s="1"/>
  <c r="B301" s="1"/>
  <c r="B302" s="1"/>
  <c r="B303" s="1"/>
  <c r="B304" s="1"/>
  <c r="B305" s="1"/>
  <c r="B306" s="1"/>
  <c r="B307" s="1"/>
  <c r="B308" s="1"/>
  <c r="B309" s="1"/>
  <c r="B310" s="1"/>
  <c r="B311" s="1"/>
  <c r="B312" s="1"/>
  <c r="B313" s="1"/>
  <c r="B314" s="1"/>
  <c r="B315" s="1"/>
  <c r="B316" s="1"/>
  <c r="B317" s="1"/>
  <c r="B318" s="1"/>
  <c r="B319" s="1"/>
  <c r="B320" s="1"/>
  <c r="B321" s="1"/>
  <c r="B322" s="1"/>
  <c r="B323" s="1"/>
  <c r="B324" s="1"/>
  <c r="B325" s="1"/>
  <c r="B326" s="1"/>
  <c r="B327" s="1"/>
  <c r="B328" s="1"/>
  <c r="B329" s="1"/>
  <c r="B330" s="1"/>
  <c r="B331" s="1"/>
  <c r="B332" s="1"/>
  <c r="B333" s="1"/>
  <c r="B334" s="1"/>
  <c r="B335" s="1"/>
  <c r="B336" s="1"/>
  <c r="B337" s="1"/>
  <c r="B338" s="1"/>
  <c r="B339" s="1"/>
  <c r="B340" s="1"/>
  <c r="B341" s="1"/>
  <c r="B342" s="1"/>
  <c r="B343" s="1"/>
  <c r="B344" s="1"/>
  <c r="B345" s="1"/>
  <c r="B346" s="1"/>
  <c r="B347" s="1"/>
  <c r="B348" s="1"/>
  <c r="B349" s="1"/>
  <c r="B350" s="1"/>
  <c r="B351" s="1"/>
  <c r="B352" s="1"/>
  <c r="B353" s="1"/>
  <c r="B354" s="1"/>
  <c r="B355" s="1"/>
  <c r="B356" s="1"/>
  <c r="B357" s="1"/>
  <c r="B358" s="1"/>
  <c r="B359" s="1"/>
  <c r="B360" s="1"/>
  <c r="B361" s="1"/>
  <c r="B362" s="1"/>
  <c r="B363" s="1"/>
  <c r="B364" s="1"/>
  <c r="B365" s="1"/>
  <c r="B366" s="1"/>
  <c r="B367" s="1"/>
  <c r="B368" s="1"/>
  <c r="B369" s="1"/>
  <c r="B370" s="1"/>
  <c r="B371" s="1"/>
  <c r="B372" s="1"/>
  <c r="B373" s="1"/>
  <c r="B374" s="1"/>
  <c r="B375" s="1"/>
  <c r="B376" s="1"/>
  <c r="B377" s="1"/>
  <c r="B378" s="1"/>
  <c r="B379" s="1"/>
  <c r="B380" s="1"/>
  <c r="B381" s="1"/>
  <c r="B382" s="1"/>
  <c r="B383" s="1"/>
  <c r="B384" s="1"/>
  <c r="B385" s="1"/>
  <c r="B386" s="1"/>
  <c r="B387" s="1"/>
  <c r="B388" s="1"/>
  <c r="B389" s="1"/>
  <c r="B390" s="1"/>
  <c r="B391" s="1"/>
  <c r="B392" s="1"/>
  <c r="B393" s="1"/>
  <c r="B394" s="1"/>
  <c r="B395" s="1"/>
  <c r="B396" s="1"/>
  <c r="B397" s="1"/>
  <c r="B398" s="1"/>
  <c r="B399" s="1"/>
  <c r="B400" s="1"/>
  <c r="B401" s="1"/>
  <c r="B402" s="1"/>
  <c r="B403" s="1"/>
  <c r="B404" s="1"/>
  <c r="B405" s="1"/>
  <c r="B406" s="1"/>
  <c r="B407" s="1"/>
  <c r="B408" s="1"/>
  <c r="B409" s="1"/>
  <c r="B410" s="1"/>
  <c r="B411" s="1"/>
  <c r="B412" s="1"/>
  <c r="B413" s="1"/>
  <c r="B414" s="1"/>
  <c r="B415" s="1"/>
  <c r="B416" s="1"/>
  <c r="B417" s="1"/>
  <c r="B418" s="1"/>
  <c r="B419" s="1"/>
  <c r="B420" s="1"/>
  <c r="B421" s="1"/>
  <c r="B422" s="1"/>
  <c r="B423" s="1"/>
  <c r="B424" s="1"/>
  <c r="B425" s="1"/>
  <c r="B426" s="1"/>
  <c r="B427" s="1"/>
  <c r="B428" s="1"/>
  <c r="B429" s="1"/>
  <c r="B430" s="1"/>
  <c r="B431" s="1"/>
  <c r="B432" s="1"/>
  <c r="B433" s="1"/>
  <c r="B434" s="1"/>
  <c r="B435" s="1"/>
  <c r="B436" s="1"/>
  <c r="B437" s="1"/>
  <c r="B438" s="1"/>
  <c r="B439" s="1"/>
  <c r="B440" s="1"/>
  <c r="B441" s="1"/>
  <c r="B442" s="1"/>
  <c r="B443" s="1"/>
  <c r="B444" s="1"/>
  <c r="B445" s="1"/>
  <c r="B446" s="1"/>
  <c r="B447" s="1"/>
  <c r="B448" s="1"/>
  <c r="B449" s="1"/>
  <c r="B450" s="1"/>
  <c r="B451" s="1"/>
  <c r="B452" s="1"/>
  <c r="B453" s="1"/>
  <c r="B454" s="1"/>
  <c r="B455" s="1"/>
  <c r="B456" s="1"/>
  <c r="B457" s="1"/>
  <c r="B458" s="1"/>
  <c r="B459" s="1"/>
  <c r="B460" s="1"/>
  <c r="B461" s="1"/>
  <c r="B462" s="1"/>
  <c r="B463" s="1"/>
  <c r="B464" s="1"/>
  <c r="B465" s="1"/>
  <c r="B466" s="1"/>
  <c r="B467" s="1"/>
  <c r="B468" s="1"/>
  <c r="B469" s="1"/>
  <c r="B470" s="1"/>
  <c r="B471" s="1"/>
  <c r="B472" s="1"/>
  <c r="B473" s="1"/>
  <c r="B474" s="1"/>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503" s="1"/>
  <c r="B504" s="1"/>
  <c r="B505" s="1"/>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34" s="1"/>
  <c r="B535" s="1"/>
  <c r="B536" s="1"/>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64" s="1"/>
  <c r="B565" s="1"/>
  <c r="B566" s="1"/>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95" s="1"/>
  <c r="B596" s="1"/>
  <c r="B597" s="1"/>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625" s="1"/>
  <c r="B626" s="1"/>
  <c r="B627" s="1"/>
  <c r="B628" s="1"/>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56" s="1"/>
  <c r="B657" s="1"/>
  <c r="B658" s="1"/>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87" s="1"/>
  <c r="B688" s="1"/>
  <c r="B689" s="1"/>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716" s="1"/>
  <c r="B717" s="1"/>
  <c r="B718" s="1"/>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47" s="1"/>
  <c r="B748" s="1"/>
  <c r="B749" s="1"/>
  <c r="B750" s="1"/>
  <c r="B751" s="1"/>
  <c r="B752" s="1"/>
  <c r="B753" s="1"/>
  <c r="B754" s="1"/>
  <c r="B755" s="1"/>
  <c r="B756" s="1"/>
  <c r="B757" s="1"/>
  <c r="B758" s="1"/>
  <c r="B759" s="1"/>
  <c r="B760" s="1"/>
  <c r="B761" s="1"/>
  <c r="B762" s="1"/>
  <c r="B763" s="1"/>
  <c r="B764" s="1"/>
  <c r="B765" s="1"/>
  <c r="B766" s="1"/>
  <c r="B767" s="1"/>
  <c r="B768" s="1"/>
  <c r="B769" s="1"/>
  <c r="B770" s="1"/>
  <c r="B771" s="1"/>
  <c r="B772" s="1"/>
  <c r="B773" s="1"/>
  <c r="B774" s="1"/>
  <c r="B775" s="1"/>
  <c r="B776" s="1"/>
  <c r="B777" s="1"/>
  <c r="B778" s="1"/>
  <c r="B779" s="1"/>
  <c r="B780" s="1"/>
  <c r="B781" s="1"/>
  <c r="B782" s="1"/>
  <c r="B783" s="1"/>
  <c r="B784" s="1"/>
  <c r="B785" s="1"/>
  <c r="B786" s="1"/>
  <c r="B787" s="1"/>
  <c r="B788" s="1"/>
  <c r="B789" s="1"/>
  <c r="B790" s="1"/>
  <c r="B791" s="1"/>
  <c r="B792" s="1"/>
  <c r="B793" s="1"/>
  <c r="B794" s="1"/>
  <c r="B795" s="1"/>
  <c r="B796" s="1"/>
  <c r="B797" s="1"/>
  <c r="B798" s="1"/>
  <c r="B799" s="1"/>
  <c r="B800" s="1"/>
  <c r="B801" s="1"/>
  <c r="B802" s="1"/>
  <c r="B803" s="1"/>
  <c r="B804" s="1"/>
  <c r="B805" s="1"/>
  <c r="B806" s="1"/>
  <c r="B807" s="1"/>
  <c r="B808" s="1"/>
  <c r="B809" s="1"/>
  <c r="B810" s="1"/>
  <c r="B811" s="1"/>
  <c r="B812" s="1"/>
  <c r="B813" s="1"/>
  <c r="B814" s="1"/>
  <c r="B815" s="1"/>
  <c r="B816" s="1"/>
  <c r="B817" s="1"/>
  <c r="B818" s="1"/>
  <c r="B819" s="1"/>
  <c r="B820" s="1"/>
  <c r="B821" s="1"/>
  <c r="B822" s="1"/>
  <c r="B823" s="1"/>
  <c r="B824" s="1"/>
  <c r="B825" s="1"/>
  <c r="B826" s="1"/>
  <c r="B827" s="1"/>
  <c r="B828" s="1"/>
  <c r="B829" s="1"/>
  <c r="B830" s="1"/>
  <c r="B831" s="1"/>
  <c r="B832" s="1"/>
  <c r="B833" s="1"/>
  <c r="B834" s="1"/>
  <c r="B835" s="1"/>
  <c r="B836" s="1"/>
  <c r="B837" s="1"/>
  <c r="B838" s="1"/>
  <c r="B839" s="1"/>
  <c r="B840" s="1"/>
  <c r="B841" s="1"/>
  <c r="B842" s="1"/>
  <c r="B843" s="1"/>
  <c r="B844" s="1"/>
  <c r="B845" s="1"/>
  <c r="B846" s="1"/>
  <c r="B847" s="1"/>
  <c r="B848" s="1"/>
  <c r="B849" s="1"/>
  <c r="B850" s="1"/>
  <c r="B851" s="1"/>
  <c r="B852" s="1"/>
  <c r="B853" s="1"/>
  <c r="B854" s="1"/>
  <c r="B855" s="1"/>
  <c r="B856" s="1"/>
  <c r="B857" s="1"/>
  <c r="B858" s="1"/>
  <c r="B859" s="1"/>
  <c r="B860" s="1"/>
  <c r="B861" s="1"/>
  <c r="B862" s="1"/>
  <c r="B863" s="1"/>
  <c r="B864" s="1"/>
  <c r="B865" s="1"/>
  <c r="B866" s="1"/>
  <c r="B867" s="1"/>
  <c r="B868" s="1"/>
  <c r="B869" s="1"/>
  <c r="B870" s="1"/>
  <c r="B871" s="1"/>
  <c r="B872" s="1"/>
  <c r="B873" s="1"/>
  <c r="B874" s="1"/>
  <c r="B875" s="1"/>
  <c r="B876" s="1"/>
  <c r="B877" s="1"/>
  <c r="B878" s="1"/>
  <c r="B879" s="1"/>
  <c r="B880" s="1"/>
  <c r="B881" s="1"/>
  <c r="B882" s="1"/>
  <c r="B883" s="1"/>
  <c r="B884" s="1"/>
  <c r="B885" s="1"/>
  <c r="B886" s="1"/>
  <c r="B887" s="1"/>
  <c r="B888" s="1"/>
  <c r="B889" s="1"/>
  <c r="B890" s="1"/>
  <c r="B891" s="1"/>
  <c r="B892" s="1"/>
  <c r="B893" s="1"/>
  <c r="B894" s="1"/>
  <c r="B895" s="1"/>
  <c r="B896" s="1"/>
  <c r="B897" s="1"/>
  <c r="B898" s="1"/>
  <c r="B899" s="1"/>
  <c r="B900" s="1"/>
  <c r="B901" s="1"/>
  <c r="B902" s="1"/>
  <c r="B903" s="1"/>
  <c r="B904" s="1"/>
  <c r="B905" s="1"/>
  <c r="B906" s="1"/>
  <c r="B907" s="1"/>
  <c r="B908" s="1"/>
  <c r="B909" s="1"/>
  <c r="B910" s="1"/>
  <c r="B911" s="1"/>
  <c r="B912" s="1"/>
  <c r="B913" s="1"/>
  <c r="B914" s="1"/>
  <c r="B915" s="1"/>
  <c r="B916" s="1"/>
  <c r="B917" s="1"/>
  <c r="B918" s="1"/>
  <c r="B919" s="1"/>
  <c r="B920" s="1"/>
  <c r="B921" s="1"/>
  <c r="B922" s="1"/>
  <c r="B923" s="1"/>
  <c r="B924" s="1"/>
  <c r="B925" s="1"/>
  <c r="B926" s="1"/>
  <c r="B927" s="1"/>
  <c r="B928" s="1"/>
  <c r="B929" s="1"/>
  <c r="B930" s="1"/>
  <c r="B931" s="1"/>
  <c r="B932" s="1"/>
  <c r="B933" s="1"/>
  <c r="B934" s="1"/>
  <c r="B935" s="1"/>
  <c r="B936" s="1"/>
  <c r="B937" s="1"/>
  <c r="B938" s="1"/>
  <c r="B939" s="1"/>
  <c r="B940" s="1"/>
  <c r="B941" s="1"/>
  <c r="B942" s="1"/>
  <c r="B943" s="1"/>
  <c r="B944" s="1"/>
  <c r="B945" s="1"/>
  <c r="B946" s="1"/>
  <c r="B947" s="1"/>
  <c r="B948" s="1"/>
  <c r="B949" s="1"/>
  <c r="B950" s="1"/>
  <c r="B951" s="1"/>
  <c r="B952" s="1"/>
  <c r="B953" s="1"/>
  <c r="B954" s="1"/>
  <c r="B955" s="1"/>
  <c r="B956" s="1"/>
  <c r="B957" s="1"/>
  <c r="B958" s="1"/>
  <c r="B959" s="1"/>
  <c r="B960" s="1"/>
  <c r="B961" s="1"/>
  <c r="B962" s="1"/>
  <c r="B963" s="1"/>
  <c r="B964" s="1"/>
  <c r="B965" s="1"/>
  <c r="B966" s="1"/>
  <c r="B967" s="1"/>
  <c r="B968" s="1"/>
  <c r="B969" s="1"/>
  <c r="B970" s="1"/>
  <c r="B971" s="1"/>
  <c r="B972" s="1"/>
  <c r="B973" s="1"/>
  <c r="B974" s="1"/>
  <c r="B975" s="1"/>
  <c r="B976" s="1"/>
  <c r="B977" s="1"/>
  <c r="B978" s="1"/>
  <c r="B979" s="1"/>
  <c r="B980" s="1"/>
  <c r="B981" s="1"/>
  <c r="B982" s="1"/>
  <c r="B983" s="1"/>
  <c r="B984" s="1"/>
  <c r="B985" s="1"/>
  <c r="B986" s="1"/>
  <c r="B987" s="1"/>
  <c r="B988" s="1"/>
  <c r="B989" s="1"/>
  <c r="B990" s="1"/>
  <c r="B991" s="1"/>
  <c r="B992" s="1"/>
  <c r="B993" s="1"/>
  <c r="B994" s="1"/>
  <c r="B995" s="1"/>
  <c r="B996" s="1"/>
  <c r="B997" s="1"/>
  <c r="B998" s="1"/>
  <c r="B999" s="1"/>
  <c r="B1000" s="1"/>
  <c r="B1001" s="1"/>
  <c r="B1002" s="1"/>
  <c r="B1003" s="1"/>
  <c r="B1004" s="1"/>
  <c r="B1005" s="1"/>
  <c r="B1006" s="1"/>
  <c r="B1007" s="1"/>
  <c r="B1008" s="1"/>
  <c r="B1009" s="1"/>
  <c r="B1010" s="1"/>
  <c r="B1011" s="1"/>
  <c r="B1012" s="1"/>
  <c r="B1013" s="1"/>
  <c r="B1014" s="1"/>
  <c r="B1015" s="1"/>
  <c r="B1016" s="1"/>
  <c r="B1017" s="1"/>
  <c r="B1018" s="1"/>
  <c r="B1019" s="1"/>
  <c r="B1020" s="1"/>
  <c r="B1021" s="1"/>
  <c r="B1022" s="1"/>
  <c r="B1023" s="1"/>
  <c r="B1024" s="1"/>
  <c r="B1025" s="1"/>
  <c r="B1026" s="1"/>
  <c r="B1027" s="1"/>
  <c r="B1028" s="1"/>
  <c r="B1029" s="1"/>
  <c r="B1030" s="1"/>
  <c r="B1031" s="1"/>
  <c r="B1032" s="1"/>
  <c r="B1033" s="1"/>
  <c r="B1034" s="1"/>
  <c r="B1035" s="1"/>
  <c r="B1036" s="1"/>
  <c r="B1037" s="1"/>
  <c r="B1038" s="1"/>
  <c r="B1039" s="1"/>
  <c r="B1040" s="1"/>
  <c r="B1041" s="1"/>
  <c r="B1042" s="1"/>
  <c r="B1043" s="1"/>
  <c r="B1044" s="1"/>
  <c r="B1045" s="1"/>
  <c r="B1046" s="1"/>
  <c r="B1047" s="1"/>
  <c r="B1048" s="1"/>
  <c r="B1049" s="1"/>
  <c r="B1050" s="1"/>
  <c r="B1051" s="1"/>
  <c r="B1052" s="1"/>
  <c r="B1053" s="1"/>
  <c r="B1054" s="1"/>
  <c r="B1055" s="1"/>
  <c r="B1056" s="1"/>
  <c r="B1057" s="1"/>
  <c r="B1058" s="1"/>
  <c r="B1059" s="1"/>
  <c r="B1060" s="1"/>
  <c r="B1061" s="1"/>
  <c r="B1062" s="1"/>
  <c r="B1063" s="1"/>
  <c r="B1064" s="1"/>
  <c r="B1065" s="1"/>
  <c r="B1066" s="1"/>
  <c r="B1067" s="1"/>
  <c r="B1068" s="1"/>
  <c r="B1069" s="1"/>
  <c r="B1070" s="1"/>
  <c r="B1071" s="1"/>
  <c r="B1072" s="1"/>
  <c r="B1073" s="1"/>
  <c r="B1074" s="1"/>
  <c r="B1075" s="1"/>
  <c r="B1076" s="1"/>
  <c r="B1077" s="1"/>
  <c r="B1078" s="1"/>
  <c r="B1079" s="1"/>
  <c r="B1080" s="1"/>
  <c r="B1081" s="1"/>
  <c r="B1082" s="1"/>
  <c r="B1083" s="1"/>
  <c r="B1084" s="1"/>
  <c r="B1085" s="1"/>
  <c r="B1086" s="1"/>
  <c r="B1087" s="1"/>
  <c r="B1088" s="1"/>
  <c r="B1089" s="1"/>
  <c r="B1090" s="1"/>
  <c r="B1091" s="1"/>
  <c r="B1092" s="1"/>
  <c r="B1093" s="1"/>
  <c r="B1094" s="1"/>
  <c r="B1095" s="1"/>
  <c r="B1096" s="1"/>
  <c r="B1097" s="1"/>
  <c r="B1098" s="1"/>
  <c r="B1099" s="1"/>
  <c r="B1100" s="1"/>
  <c r="B1101" s="1"/>
  <c r="B1102" s="1"/>
  <c r="B1103" s="1"/>
  <c r="B1104" s="1"/>
  <c r="B1105" s="1"/>
  <c r="B1106" s="1"/>
  <c r="B1107" s="1"/>
  <c r="B1108" s="1"/>
  <c r="B1109" s="1"/>
  <c r="B1110" s="1"/>
  <c r="B1111" s="1"/>
  <c r="B1112" s="1"/>
  <c r="B1113" s="1"/>
  <c r="B1114" s="1"/>
  <c r="B1115" s="1"/>
  <c r="B1116" s="1"/>
  <c r="B1117" s="1"/>
  <c r="B1118" s="1"/>
  <c r="B1119" s="1"/>
  <c r="B1120" s="1"/>
  <c r="B1121" s="1"/>
  <c r="B1122" s="1"/>
  <c r="B1123" s="1"/>
  <c r="B1124" s="1"/>
  <c r="B1125" s="1"/>
  <c r="B1126" s="1"/>
  <c r="B1127" s="1"/>
  <c r="B1128" s="1"/>
  <c r="B1129" s="1"/>
  <c r="B1130" s="1"/>
  <c r="B1131" s="1"/>
  <c r="B1132" s="1"/>
  <c r="B1133" s="1"/>
  <c r="B1134" s="1"/>
  <c r="B1135" s="1"/>
  <c r="B1136" s="1"/>
  <c r="B1137" s="1"/>
  <c r="B1138" s="1"/>
  <c r="B1139" s="1"/>
  <c r="B1140" s="1"/>
  <c r="B1141" s="1"/>
  <c r="B1142" s="1"/>
  <c r="B1143" s="1"/>
  <c r="B1144" s="1"/>
  <c r="B1145" s="1"/>
  <c r="B1146" s="1"/>
  <c r="B1147" s="1"/>
  <c r="B1148" s="1"/>
  <c r="B1149" s="1"/>
  <c r="B1150" s="1"/>
  <c r="B1151" s="1"/>
  <c r="B1152" s="1"/>
  <c r="B1153" s="1"/>
  <c r="B1154" s="1"/>
  <c r="B1155" s="1"/>
  <c r="B1156" s="1"/>
  <c r="B1157" s="1"/>
  <c r="B1158" s="1"/>
  <c r="B1159" s="1"/>
  <c r="B1160" s="1"/>
  <c r="B1161" s="1"/>
  <c r="B1162" s="1"/>
  <c r="B1163" s="1"/>
  <c r="B1164" s="1"/>
  <c r="B1165" s="1"/>
  <c r="B1166" s="1"/>
  <c r="B1167" s="1"/>
  <c r="B1168" s="1"/>
  <c r="B1169" s="1"/>
  <c r="B1170" s="1"/>
  <c r="B1171" s="1"/>
  <c r="B1172" s="1"/>
  <c r="B1173" s="1"/>
  <c r="B1174" s="1"/>
  <c r="B1175" s="1"/>
  <c r="B1176" s="1"/>
  <c r="B1177" s="1"/>
  <c r="B1178" s="1"/>
  <c r="B1179" s="1"/>
  <c r="B1180" s="1"/>
  <c r="B1181" s="1"/>
  <c r="B1182" s="1"/>
  <c r="B1183" s="1"/>
  <c r="B1184" s="1"/>
  <c r="B1185" s="1"/>
  <c r="B1186" s="1"/>
  <c r="B1187" s="1"/>
  <c r="B1188" s="1"/>
  <c r="B1189" s="1"/>
  <c r="B1190" s="1"/>
  <c r="B1191" s="1"/>
  <c r="B1192" s="1"/>
  <c r="B1193" s="1"/>
  <c r="B1194" s="1"/>
  <c r="B1195" s="1"/>
  <c r="B1196" s="1"/>
  <c r="B1197" s="1"/>
  <c r="B1198" s="1"/>
  <c r="B1199" s="1"/>
  <c r="B1200" s="1"/>
  <c r="B1201" s="1"/>
  <c r="B1202" s="1"/>
  <c r="B1203" s="1"/>
  <c r="B1204" s="1"/>
  <c r="B1205" s="1"/>
  <c r="B1206" s="1"/>
  <c r="B1207" s="1"/>
  <c r="B1208" s="1"/>
  <c r="B1209" s="1"/>
  <c r="B1214" s="1"/>
  <c r="AJ50" s="1"/>
  <c r="C6"/>
  <c r="C7"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C51" s="1"/>
  <c r="C52" s="1"/>
  <c r="C53" s="1"/>
  <c r="C54" s="1"/>
  <c r="C55" s="1"/>
  <c r="C56" s="1"/>
  <c r="C57" s="1"/>
  <c r="C58" s="1"/>
  <c r="C59" s="1"/>
  <c r="C60" s="1"/>
  <c r="C61" s="1"/>
  <c r="C62" s="1"/>
  <c r="C63" s="1"/>
  <c r="C64" s="1"/>
  <c r="C65" s="1"/>
  <c r="C66" s="1"/>
  <c r="C67" s="1"/>
  <c r="C68" s="1"/>
  <c r="C69" s="1"/>
  <c r="C70" s="1"/>
  <c r="C71" s="1"/>
  <c r="C72" s="1"/>
  <c r="C73" s="1"/>
  <c r="C74" s="1"/>
  <c r="C75" s="1"/>
  <c r="C76" s="1"/>
  <c r="C77" s="1"/>
  <c r="C78" s="1"/>
  <c r="C79" s="1"/>
  <c r="C80" s="1"/>
  <c r="C81" s="1"/>
  <c r="C82" s="1"/>
  <c r="C83" s="1"/>
  <c r="C84" s="1"/>
  <c r="C85" s="1"/>
  <c r="C86" s="1"/>
  <c r="C87" s="1"/>
  <c r="C88" s="1"/>
  <c r="C89" s="1"/>
  <c r="C90" s="1"/>
  <c r="C91" s="1"/>
  <c r="C92" s="1"/>
  <c r="C93" s="1"/>
  <c r="C94" s="1"/>
  <c r="C95" s="1"/>
  <c r="C96" s="1"/>
  <c r="C97" s="1"/>
  <c r="C98" s="1"/>
  <c r="C99" s="1"/>
  <c r="C100" s="1"/>
  <c r="C101" s="1"/>
  <c r="C102" s="1"/>
  <c r="C103" s="1"/>
  <c r="C104" s="1"/>
  <c r="C105" s="1"/>
  <c r="C106" s="1"/>
  <c r="C107" s="1"/>
  <c r="C108" s="1"/>
  <c r="C109" s="1"/>
  <c r="C110" s="1"/>
  <c r="C111" s="1"/>
  <c r="C112" s="1"/>
  <c r="C113" s="1"/>
  <c r="C114" s="1"/>
  <c r="C115" s="1"/>
  <c r="C116" s="1"/>
  <c r="C117" s="1"/>
  <c r="C118" s="1"/>
  <c r="C119" s="1"/>
  <c r="C120" s="1"/>
  <c r="C121" s="1"/>
  <c r="C122" s="1"/>
  <c r="C123" s="1"/>
  <c r="C124" s="1"/>
  <c r="C125" s="1"/>
  <c r="C126" s="1"/>
  <c r="C127" s="1"/>
  <c r="C128" s="1"/>
  <c r="C129" s="1"/>
  <c r="C130" s="1"/>
  <c r="C131" s="1"/>
  <c r="C132" s="1"/>
  <c r="C133" s="1"/>
  <c r="C134" s="1"/>
  <c r="C135" s="1"/>
  <c r="C136" s="1"/>
  <c r="C137" s="1"/>
  <c r="C138" s="1"/>
  <c r="C139" s="1"/>
  <c r="C140" s="1"/>
  <c r="C141" s="1"/>
  <c r="C142" s="1"/>
  <c r="C143" s="1"/>
  <c r="C144" s="1"/>
  <c r="C145" s="1"/>
  <c r="C146" s="1"/>
  <c r="C147" s="1"/>
  <c r="C148" s="1"/>
  <c r="C149" s="1"/>
  <c r="C150" s="1"/>
  <c r="C151" s="1"/>
  <c r="C152" s="1"/>
  <c r="C153" s="1"/>
  <c r="C154" s="1"/>
  <c r="C155" s="1"/>
  <c r="C156" s="1"/>
  <c r="C157" s="1"/>
  <c r="C158" s="1"/>
  <c r="C159" s="1"/>
  <c r="C160" s="1"/>
  <c r="C161" s="1"/>
  <c r="C162" s="1"/>
  <c r="C163" s="1"/>
  <c r="C164" s="1"/>
  <c r="C165" s="1"/>
  <c r="C166" s="1"/>
  <c r="C167" s="1"/>
  <c r="C168" s="1"/>
  <c r="C169" s="1"/>
  <c r="C170" s="1"/>
  <c r="C171" s="1"/>
  <c r="C172" s="1"/>
  <c r="C173" s="1"/>
  <c r="C174" s="1"/>
  <c r="C175" s="1"/>
  <c r="C176" s="1"/>
  <c r="C177" s="1"/>
  <c r="C178" s="1"/>
  <c r="C179" s="1"/>
  <c r="C180" s="1"/>
  <c r="C181" s="1"/>
  <c r="C182" s="1"/>
  <c r="C183" s="1"/>
  <c r="C184" s="1"/>
  <c r="C185" s="1"/>
  <c r="C186" s="1"/>
  <c r="C187" s="1"/>
  <c r="C188" s="1"/>
  <c r="C189" s="1"/>
  <c r="C190" s="1"/>
  <c r="C191" s="1"/>
  <c r="C192" s="1"/>
  <c r="C193" s="1"/>
  <c r="C194" s="1"/>
  <c r="C195" s="1"/>
  <c r="C196" s="1"/>
  <c r="C197" s="1"/>
  <c r="C198" s="1"/>
  <c r="C199" s="1"/>
  <c r="C200" s="1"/>
  <c r="C201" s="1"/>
  <c r="C202" s="1"/>
  <c r="C203" s="1"/>
  <c r="C204" s="1"/>
  <c r="C205" s="1"/>
  <c r="C206" s="1"/>
  <c r="C207" s="1"/>
  <c r="C208" s="1"/>
  <c r="C209" s="1"/>
  <c r="C210" s="1"/>
  <c r="C211" s="1"/>
  <c r="C212" s="1"/>
  <c r="C213" s="1"/>
  <c r="C214" s="1"/>
  <c r="C215" s="1"/>
  <c r="C216" s="1"/>
  <c r="C217" s="1"/>
  <c r="C218" s="1"/>
  <c r="C219" s="1"/>
  <c r="C220" s="1"/>
  <c r="C221" s="1"/>
  <c r="C222" s="1"/>
  <c r="C223" s="1"/>
  <c r="C224" s="1"/>
  <c r="C225" s="1"/>
  <c r="C226" s="1"/>
  <c r="C227" s="1"/>
  <c r="C228" s="1"/>
  <c r="C229" s="1"/>
  <c r="C230" s="1"/>
  <c r="C231" s="1"/>
  <c r="C232" s="1"/>
  <c r="C233" s="1"/>
  <c r="C234" s="1"/>
  <c r="C235" s="1"/>
  <c r="C236" s="1"/>
  <c r="C237" s="1"/>
  <c r="C238" s="1"/>
  <c r="C239" s="1"/>
  <c r="C240" s="1"/>
  <c r="C241" s="1"/>
  <c r="C242" s="1"/>
  <c r="C243" s="1"/>
  <c r="C244" s="1"/>
  <c r="C245" s="1"/>
  <c r="C246" s="1"/>
  <c r="C247" s="1"/>
  <c r="C248" s="1"/>
  <c r="C249" s="1"/>
  <c r="C250" s="1"/>
  <c r="C251" s="1"/>
  <c r="C252" s="1"/>
  <c r="C253" s="1"/>
  <c r="C254" s="1"/>
  <c r="C255" s="1"/>
  <c r="C256" s="1"/>
  <c r="C257" s="1"/>
  <c r="C258" s="1"/>
  <c r="C259" s="1"/>
  <c r="C260" s="1"/>
  <c r="C261" s="1"/>
  <c r="C262" s="1"/>
  <c r="C263" s="1"/>
  <c r="C264" s="1"/>
  <c r="C265" s="1"/>
  <c r="C266" s="1"/>
  <c r="C267" s="1"/>
  <c r="C268" s="1"/>
  <c r="C269" s="1"/>
  <c r="C270" s="1"/>
  <c r="C271" s="1"/>
  <c r="C272" s="1"/>
  <c r="C273" s="1"/>
  <c r="C274" s="1"/>
  <c r="C275" s="1"/>
  <c r="C276" s="1"/>
  <c r="C277" s="1"/>
  <c r="C278" s="1"/>
  <c r="C279" s="1"/>
  <c r="C280" s="1"/>
  <c r="C281" s="1"/>
  <c r="C282" s="1"/>
  <c r="C283" s="1"/>
  <c r="C284" s="1"/>
  <c r="C285" s="1"/>
  <c r="C286" s="1"/>
  <c r="C287" s="1"/>
  <c r="C288" s="1"/>
  <c r="C289" s="1"/>
  <c r="C290" s="1"/>
  <c r="C291" s="1"/>
  <c r="C292" s="1"/>
  <c r="C293" s="1"/>
  <c r="C294" s="1"/>
  <c r="C295" s="1"/>
  <c r="C296" s="1"/>
  <c r="C297" s="1"/>
  <c r="C298" s="1"/>
  <c r="C299" s="1"/>
  <c r="C300" s="1"/>
  <c r="C301" s="1"/>
  <c r="C302" s="1"/>
  <c r="C303" s="1"/>
  <c r="C304" s="1"/>
  <c r="C305" s="1"/>
  <c r="C306" s="1"/>
  <c r="C307" s="1"/>
  <c r="C308" s="1"/>
  <c r="C309" s="1"/>
  <c r="C310" s="1"/>
  <c r="C311" s="1"/>
  <c r="C312" s="1"/>
  <c r="C313" s="1"/>
  <c r="C314" s="1"/>
  <c r="C315" s="1"/>
  <c r="C316" s="1"/>
  <c r="C317" s="1"/>
  <c r="C318" s="1"/>
  <c r="C319" s="1"/>
  <c r="C320" s="1"/>
  <c r="C321" s="1"/>
  <c r="C322" s="1"/>
  <c r="C323" s="1"/>
  <c r="C324" s="1"/>
  <c r="C325" s="1"/>
  <c r="C326" s="1"/>
  <c r="C327" s="1"/>
  <c r="C328" s="1"/>
  <c r="C329" s="1"/>
  <c r="C330" s="1"/>
  <c r="C331" s="1"/>
  <c r="C332" s="1"/>
  <c r="C333" s="1"/>
  <c r="C334" s="1"/>
  <c r="C335" s="1"/>
  <c r="C336" s="1"/>
  <c r="C337" s="1"/>
  <c r="C338" s="1"/>
  <c r="C339" s="1"/>
  <c r="C340" s="1"/>
  <c r="C341" s="1"/>
  <c r="C342" s="1"/>
  <c r="C343" s="1"/>
  <c r="C344" s="1"/>
  <c r="C345" s="1"/>
  <c r="C346" s="1"/>
  <c r="C347" s="1"/>
  <c r="C348" s="1"/>
  <c r="C349" s="1"/>
  <c r="C350" s="1"/>
  <c r="C351" s="1"/>
  <c r="C352" s="1"/>
  <c r="C353" s="1"/>
  <c r="C354" s="1"/>
  <c r="C355" s="1"/>
  <c r="C356" s="1"/>
  <c r="C357" s="1"/>
  <c r="C358" s="1"/>
  <c r="C359" s="1"/>
  <c r="C360" s="1"/>
  <c r="C361" s="1"/>
  <c r="C362" s="1"/>
  <c r="C363" s="1"/>
  <c r="C364" s="1"/>
  <c r="C365" s="1"/>
  <c r="C366" s="1"/>
  <c r="C367" s="1"/>
  <c r="C368" s="1"/>
  <c r="C369" s="1"/>
  <c r="C370" s="1"/>
  <c r="C371" s="1"/>
  <c r="C372" s="1"/>
  <c r="C373" s="1"/>
  <c r="C374" s="1"/>
  <c r="C375" s="1"/>
  <c r="C376" s="1"/>
  <c r="C377" s="1"/>
  <c r="C378" s="1"/>
  <c r="C379" s="1"/>
  <c r="C380" s="1"/>
  <c r="C381" s="1"/>
  <c r="C382" s="1"/>
  <c r="C383" s="1"/>
  <c r="C384" s="1"/>
  <c r="C385" s="1"/>
  <c r="C386" s="1"/>
  <c r="C387" s="1"/>
  <c r="C388" s="1"/>
  <c r="C389" s="1"/>
  <c r="C390" s="1"/>
  <c r="C391" s="1"/>
  <c r="C392" s="1"/>
  <c r="C393" s="1"/>
  <c r="C394" s="1"/>
  <c r="C395" s="1"/>
  <c r="C396" s="1"/>
  <c r="C397" s="1"/>
  <c r="C398" s="1"/>
  <c r="C399" s="1"/>
  <c r="C400" s="1"/>
  <c r="C401" s="1"/>
  <c r="C402" s="1"/>
  <c r="C403" s="1"/>
  <c r="C404" s="1"/>
  <c r="C405" s="1"/>
  <c r="C406" s="1"/>
  <c r="C407" s="1"/>
  <c r="C408" s="1"/>
  <c r="C409" s="1"/>
  <c r="C410" s="1"/>
  <c r="C411" s="1"/>
  <c r="C412" s="1"/>
  <c r="C413" s="1"/>
  <c r="C414" s="1"/>
  <c r="C415" s="1"/>
  <c r="C416" s="1"/>
  <c r="C417" s="1"/>
  <c r="C418" s="1"/>
  <c r="C419" s="1"/>
  <c r="C420" s="1"/>
  <c r="C421" s="1"/>
  <c r="C422" s="1"/>
  <c r="C423" s="1"/>
  <c r="C424" s="1"/>
  <c r="C425" s="1"/>
  <c r="C426" s="1"/>
  <c r="C427" s="1"/>
  <c r="C428" s="1"/>
  <c r="C429" s="1"/>
  <c r="C430" s="1"/>
  <c r="C431" s="1"/>
  <c r="C432" s="1"/>
  <c r="C433" s="1"/>
  <c r="C434" s="1"/>
  <c r="C435" s="1"/>
  <c r="C436" s="1"/>
  <c r="C437" s="1"/>
  <c r="C438" s="1"/>
  <c r="C439" s="1"/>
  <c r="C440" s="1"/>
  <c r="C441" s="1"/>
  <c r="C442" s="1"/>
  <c r="C443" s="1"/>
  <c r="C444" s="1"/>
  <c r="C445" s="1"/>
  <c r="C446" s="1"/>
  <c r="C447" s="1"/>
  <c r="C448" s="1"/>
  <c r="C449" s="1"/>
  <c r="C450" s="1"/>
  <c r="C451" s="1"/>
  <c r="C452" s="1"/>
  <c r="C453" s="1"/>
  <c r="C454" s="1"/>
  <c r="C455" s="1"/>
  <c r="C456" s="1"/>
  <c r="C457" s="1"/>
  <c r="C458" s="1"/>
  <c r="C459" s="1"/>
  <c r="C460" s="1"/>
  <c r="C461" s="1"/>
  <c r="C462" s="1"/>
  <c r="C463" s="1"/>
  <c r="C464" s="1"/>
  <c r="C465" s="1"/>
  <c r="C466" s="1"/>
  <c r="C467" s="1"/>
  <c r="C468" s="1"/>
  <c r="C469" s="1"/>
  <c r="C470" s="1"/>
  <c r="C471" s="1"/>
  <c r="C472" s="1"/>
  <c r="C473" s="1"/>
  <c r="C474" s="1"/>
  <c r="C475" s="1"/>
  <c r="C476" s="1"/>
  <c r="C477" s="1"/>
  <c r="C478" s="1"/>
  <c r="C479" s="1"/>
  <c r="C480" s="1"/>
  <c r="C481" s="1"/>
  <c r="C482" s="1"/>
  <c r="C483" s="1"/>
  <c r="C484" s="1"/>
  <c r="C485" s="1"/>
  <c r="C486" s="1"/>
  <c r="C487" s="1"/>
  <c r="C488" s="1"/>
  <c r="C489" s="1"/>
  <c r="C490" s="1"/>
  <c r="C491" s="1"/>
  <c r="C492" s="1"/>
  <c r="C493" s="1"/>
  <c r="C494" s="1"/>
  <c r="C495" s="1"/>
  <c r="C496" s="1"/>
  <c r="C497" s="1"/>
  <c r="C498" s="1"/>
  <c r="C499" s="1"/>
  <c r="C500" s="1"/>
  <c r="C501" s="1"/>
  <c r="C502" s="1"/>
  <c r="C503" s="1"/>
  <c r="C504" s="1"/>
  <c r="C505" s="1"/>
  <c r="C506" s="1"/>
  <c r="C507" s="1"/>
  <c r="C508" s="1"/>
  <c r="C509" s="1"/>
  <c r="C510" s="1"/>
  <c r="C511" s="1"/>
  <c r="C512" s="1"/>
  <c r="C513" s="1"/>
  <c r="C514" s="1"/>
  <c r="C515" s="1"/>
  <c r="C516" s="1"/>
  <c r="C517" s="1"/>
  <c r="C518" s="1"/>
  <c r="C519" s="1"/>
  <c r="C520" s="1"/>
  <c r="C521" s="1"/>
  <c r="C522" s="1"/>
  <c r="C523" s="1"/>
  <c r="C524" s="1"/>
  <c r="C525" s="1"/>
  <c r="C526" s="1"/>
  <c r="C527" s="1"/>
  <c r="C528" s="1"/>
  <c r="C529" s="1"/>
  <c r="C530" s="1"/>
  <c r="C531" s="1"/>
  <c r="C532" s="1"/>
  <c r="C533" s="1"/>
  <c r="C534" s="1"/>
  <c r="C535" s="1"/>
  <c r="C536" s="1"/>
  <c r="C537" s="1"/>
  <c r="C538" s="1"/>
  <c r="C539" s="1"/>
  <c r="C540" s="1"/>
  <c r="C541" s="1"/>
  <c r="C542" s="1"/>
  <c r="C543" s="1"/>
  <c r="C544" s="1"/>
  <c r="C545" s="1"/>
  <c r="C546" s="1"/>
  <c r="C547" s="1"/>
  <c r="C548" s="1"/>
  <c r="C549" s="1"/>
  <c r="C550" s="1"/>
  <c r="C551" s="1"/>
  <c r="C552" s="1"/>
  <c r="C553" s="1"/>
  <c r="C554" s="1"/>
  <c r="C555" s="1"/>
  <c r="C556" s="1"/>
  <c r="C557" s="1"/>
  <c r="C558" s="1"/>
  <c r="C559" s="1"/>
  <c r="C560" s="1"/>
  <c r="C561" s="1"/>
  <c r="C562" s="1"/>
  <c r="C563" s="1"/>
  <c r="C564" s="1"/>
  <c r="C565" s="1"/>
  <c r="C566" s="1"/>
  <c r="C567" s="1"/>
  <c r="C568" s="1"/>
  <c r="C569" s="1"/>
  <c r="C570" s="1"/>
  <c r="C571" s="1"/>
  <c r="C572" s="1"/>
  <c r="C573" s="1"/>
  <c r="C574" s="1"/>
  <c r="C575" s="1"/>
  <c r="C576" s="1"/>
  <c r="C577" s="1"/>
  <c r="C578" s="1"/>
  <c r="C579" s="1"/>
  <c r="C580" s="1"/>
  <c r="C581" s="1"/>
  <c r="C582" s="1"/>
  <c r="C583" s="1"/>
  <c r="C584" s="1"/>
  <c r="C585" s="1"/>
  <c r="C586" s="1"/>
  <c r="C587" s="1"/>
  <c r="C588" s="1"/>
  <c r="C589" s="1"/>
  <c r="C590" s="1"/>
  <c r="C591" s="1"/>
  <c r="C592" s="1"/>
  <c r="C593" s="1"/>
  <c r="C594" s="1"/>
  <c r="C595" s="1"/>
  <c r="C596" s="1"/>
  <c r="C597" s="1"/>
  <c r="C598" s="1"/>
  <c r="C599" s="1"/>
  <c r="C600" s="1"/>
  <c r="C601" s="1"/>
  <c r="C602" s="1"/>
  <c r="C603" s="1"/>
  <c r="C604" s="1"/>
  <c r="C605" s="1"/>
  <c r="C606" s="1"/>
  <c r="C607" s="1"/>
  <c r="C608" s="1"/>
  <c r="C609" s="1"/>
  <c r="C610" s="1"/>
  <c r="C611" s="1"/>
  <c r="C612" s="1"/>
  <c r="C613" s="1"/>
  <c r="C614" s="1"/>
  <c r="C615" s="1"/>
  <c r="C616" s="1"/>
  <c r="C617" s="1"/>
  <c r="C618" s="1"/>
  <c r="C619" s="1"/>
  <c r="C620" s="1"/>
  <c r="C621" s="1"/>
  <c r="C622" s="1"/>
  <c r="C623" s="1"/>
  <c r="C624" s="1"/>
  <c r="C625" s="1"/>
  <c r="C626" s="1"/>
  <c r="C627" s="1"/>
  <c r="C628" s="1"/>
  <c r="C629" s="1"/>
  <c r="C630" s="1"/>
  <c r="C631" s="1"/>
  <c r="C632" s="1"/>
  <c r="C633" s="1"/>
  <c r="C634" s="1"/>
  <c r="C635" s="1"/>
  <c r="C636" s="1"/>
  <c r="C637" s="1"/>
  <c r="C638" s="1"/>
  <c r="C639" s="1"/>
  <c r="C640" s="1"/>
  <c r="C641" s="1"/>
  <c r="C642" s="1"/>
  <c r="C643" s="1"/>
  <c r="C644" s="1"/>
  <c r="C645" s="1"/>
  <c r="C646" s="1"/>
  <c r="C647" s="1"/>
  <c r="C648" s="1"/>
  <c r="C649" s="1"/>
  <c r="C650" s="1"/>
  <c r="C651" s="1"/>
  <c r="C652" s="1"/>
  <c r="C653" s="1"/>
  <c r="C654" s="1"/>
  <c r="C655" s="1"/>
  <c r="C656" s="1"/>
  <c r="C657" s="1"/>
  <c r="C658" s="1"/>
  <c r="C659" s="1"/>
  <c r="C660" s="1"/>
  <c r="C661" s="1"/>
  <c r="C662" s="1"/>
  <c r="C663" s="1"/>
  <c r="C664" s="1"/>
  <c r="C665" s="1"/>
  <c r="C666" s="1"/>
  <c r="C667" s="1"/>
  <c r="C668" s="1"/>
  <c r="C669" s="1"/>
  <c r="C670" s="1"/>
  <c r="C671" s="1"/>
  <c r="C672" s="1"/>
  <c r="C673" s="1"/>
  <c r="C674" s="1"/>
  <c r="C675" s="1"/>
  <c r="C676" s="1"/>
  <c r="C677" s="1"/>
  <c r="C678" s="1"/>
  <c r="C679" s="1"/>
  <c r="C680" s="1"/>
  <c r="C681" s="1"/>
  <c r="C682" s="1"/>
  <c r="C683" s="1"/>
  <c r="C684" s="1"/>
  <c r="C685" s="1"/>
  <c r="C686" s="1"/>
  <c r="C687" s="1"/>
  <c r="C688" s="1"/>
  <c r="C689" s="1"/>
  <c r="C690" s="1"/>
  <c r="C691" s="1"/>
  <c r="C692" s="1"/>
  <c r="C693" s="1"/>
  <c r="C694" s="1"/>
  <c r="C695" s="1"/>
  <c r="C696" s="1"/>
  <c r="C697" s="1"/>
  <c r="C698" s="1"/>
  <c r="C699" s="1"/>
  <c r="C700" s="1"/>
  <c r="C701" s="1"/>
  <c r="C702" s="1"/>
  <c r="C703" s="1"/>
  <c r="C704" s="1"/>
  <c r="C705" s="1"/>
  <c r="C706" s="1"/>
  <c r="C707" s="1"/>
  <c r="C708" s="1"/>
  <c r="C709" s="1"/>
  <c r="C710" s="1"/>
  <c r="C711" s="1"/>
  <c r="C712" s="1"/>
  <c r="C713" s="1"/>
  <c r="C714" s="1"/>
  <c r="C715" s="1"/>
  <c r="C716" s="1"/>
  <c r="C717" s="1"/>
  <c r="C718" s="1"/>
  <c r="C719" s="1"/>
  <c r="C720" s="1"/>
  <c r="C721" s="1"/>
  <c r="C722" s="1"/>
  <c r="C723" s="1"/>
  <c r="C724" s="1"/>
  <c r="C725" s="1"/>
  <c r="C726" s="1"/>
  <c r="C727" s="1"/>
  <c r="C728" s="1"/>
  <c r="C729" s="1"/>
  <c r="C730" s="1"/>
  <c r="C731" s="1"/>
  <c r="C732" s="1"/>
  <c r="C733" s="1"/>
  <c r="C734" s="1"/>
  <c r="C735" s="1"/>
  <c r="C736" s="1"/>
  <c r="C737" s="1"/>
  <c r="C738" s="1"/>
  <c r="C739" s="1"/>
  <c r="C740" s="1"/>
  <c r="C741" s="1"/>
  <c r="C742" s="1"/>
  <c r="C743" s="1"/>
  <c r="C744" s="1"/>
  <c r="C745" s="1"/>
  <c r="C746" s="1"/>
  <c r="C747" s="1"/>
  <c r="C748" s="1"/>
  <c r="C749" s="1"/>
  <c r="C750" s="1"/>
  <c r="C751" s="1"/>
  <c r="C752" s="1"/>
  <c r="C753" s="1"/>
  <c r="C754" s="1"/>
  <c r="C755" s="1"/>
  <c r="C756" s="1"/>
  <c r="C757" s="1"/>
  <c r="C758" s="1"/>
  <c r="C759" s="1"/>
  <c r="C760" s="1"/>
  <c r="C761" s="1"/>
  <c r="C762" s="1"/>
  <c r="C763" s="1"/>
  <c r="C764" s="1"/>
  <c r="C765" s="1"/>
  <c r="C766" s="1"/>
  <c r="C767" s="1"/>
  <c r="C768" s="1"/>
  <c r="C769" s="1"/>
  <c r="C770" s="1"/>
  <c r="C771" s="1"/>
  <c r="C772" s="1"/>
  <c r="C773" s="1"/>
  <c r="C774" s="1"/>
  <c r="C775" s="1"/>
  <c r="C776" s="1"/>
  <c r="C777" s="1"/>
  <c r="C778" s="1"/>
  <c r="C779" s="1"/>
  <c r="C780" s="1"/>
  <c r="C781" s="1"/>
  <c r="C782" s="1"/>
  <c r="C783" s="1"/>
  <c r="C784" s="1"/>
  <c r="C785" s="1"/>
  <c r="C786" s="1"/>
  <c r="C787" s="1"/>
  <c r="C788" s="1"/>
  <c r="C789" s="1"/>
  <c r="C790" s="1"/>
  <c r="C791" s="1"/>
  <c r="C792" s="1"/>
  <c r="C793" s="1"/>
  <c r="C794" s="1"/>
  <c r="C795" s="1"/>
  <c r="C796" s="1"/>
  <c r="C797" s="1"/>
  <c r="C798" s="1"/>
  <c r="C799" s="1"/>
  <c r="C800" s="1"/>
  <c r="C801" s="1"/>
  <c r="C802" s="1"/>
  <c r="C803" s="1"/>
  <c r="C804" s="1"/>
  <c r="C805" s="1"/>
  <c r="C806" s="1"/>
  <c r="C807" s="1"/>
  <c r="C808" s="1"/>
  <c r="C809" s="1"/>
  <c r="C810" s="1"/>
  <c r="C811" s="1"/>
  <c r="C812" s="1"/>
  <c r="C813" s="1"/>
  <c r="C814" s="1"/>
  <c r="C815" s="1"/>
  <c r="C816" s="1"/>
  <c r="C817" s="1"/>
  <c r="C818" s="1"/>
  <c r="C819" s="1"/>
  <c r="C820" s="1"/>
  <c r="C821" s="1"/>
  <c r="C822" s="1"/>
  <c r="C823" s="1"/>
  <c r="C824" s="1"/>
  <c r="C825" s="1"/>
  <c r="C826" s="1"/>
  <c r="C827" s="1"/>
  <c r="C828" s="1"/>
  <c r="C829" s="1"/>
  <c r="C830" s="1"/>
  <c r="C831" s="1"/>
  <c r="C832" s="1"/>
  <c r="C833" s="1"/>
  <c r="C834" s="1"/>
  <c r="C835" s="1"/>
  <c r="C836" s="1"/>
  <c r="C837" s="1"/>
  <c r="C838" s="1"/>
  <c r="C839" s="1"/>
  <c r="C840" s="1"/>
  <c r="C841" s="1"/>
  <c r="C842" s="1"/>
  <c r="C843" s="1"/>
  <c r="C844" s="1"/>
  <c r="C845" s="1"/>
  <c r="C846" s="1"/>
  <c r="C847" s="1"/>
  <c r="C848" s="1"/>
  <c r="C849" s="1"/>
  <c r="C850" s="1"/>
  <c r="C851" s="1"/>
  <c r="C852" s="1"/>
  <c r="C853" s="1"/>
  <c r="C854" s="1"/>
  <c r="C855" s="1"/>
  <c r="C856" s="1"/>
  <c r="C857" s="1"/>
  <c r="C858" s="1"/>
  <c r="C859" s="1"/>
  <c r="C860" s="1"/>
  <c r="C861" s="1"/>
  <c r="C862" s="1"/>
  <c r="C863" s="1"/>
  <c r="C864" s="1"/>
  <c r="C865" s="1"/>
  <c r="C866" s="1"/>
  <c r="C867" s="1"/>
  <c r="C868" s="1"/>
  <c r="C869" s="1"/>
  <c r="C870" s="1"/>
  <c r="C871" s="1"/>
  <c r="C872" s="1"/>
  <c r="C873" s="1"/>
  <c r="C874" s="1"/>
  <c r="C875" s="1"/>
  <c r="C876" s="1"/>
  <c r="C877" s="1"/>
  <c r="C878" s="1"/>
  <c r="C879" s="1"/>
  <c r="C880" s="1"/>
  <c r="C881" s="1"/>
  <c r="C882" s="1"/>
  <c r="C883" s="1"/>
  <c r="C884" s="1"/>
  <c r="C885" s="1"/>
  <c r="C886" s="1"/>
  <c r="C887" s="1"/>
  <c r="C888" s="1"/>
  <c r="C889" s="1"/>
  <c r="C890" s="1"/>
  <c r="C891" s="1"/>
  <c r="C892" s="1"/>
  <c r="C893" s="1"/>
  <c r="C894" s="1"/>
  <c r="C895" s="1"/>
  <c r="C896" s="1"/>
  <c r="C897" s="1"/>
  <c r="C898" s="1"/>
  <c r="C899" s="1"/>
  <c r="C900" s="1"/>
  <c r="C901" s="1"/>
  <c r="C902" s="1"/>
  <c r="C903" s="1"/>
  <c r="C904" s="1"/>
  <c r="C905" s="1"/>
  <c r="C906" s="1"/>
  <c r="C907" s="1"/>
  <c r="C908" s="1"/>
  <c r="C909" s="1"/>
  <c r="C910" s="1"/>
  <c r="C911" s="1"/>
  <c r="C912" s="1"/>
  <c r="C913" s="1"/>
  <c r="C914" s="1"/>
  <c r="C915" s="1"/>
  <c r="C916" s="1"/>
  <c r="C917" s="1"/>
  <c r="C918" s="1"/>
  <c r="C919" s="1"/>
  <c r="C920" s="1"/>
  <c r="C921" s="1"/>
  <c r="C922" s="1"/>
  <c r="C923" s="1"/>
  <c r="C924" s="1"/>
  <c r="C925" s="1"/>
  <c r="C926" s="1"/>
  <c r="C927" s="1"/>
  <c r="C928" s="1"/>
  <c r="C929" s="1"/>
  <c r="C930" s="1"/>
  <c r="C931" s="1"/>
  <c r="C932" s="1"/>
  <c r="C933" s="1"/>
  <c r="C934" s="1"/>
  <c r="C935" s="1"/>
  <c r="C936" s="1"/>
  <c r="C937" s="1"/>
  <c r="C938" s="1"/>
  <c r="C939" s="1"/>
  <c r="C940" s="1"/>
  <c r="C941" s="1"/>
  <c r="C942" s="1"/>
  <c r="C943" s="1"/>
  <c r="C944" s="1"/>
  <c r="C945" s="1"/>
  <c r="C946" s="1"/>
  <c r="C947" s="1"/>
  <c r="C948" s="1"/>
  <c r="C949" s="1"/>
  <c r="C950" s="1"/>
  <c r="C951" s="1"/>
  <c r="C952" s="1"/>
  <c r="C953" s="1"/>
  <c r="C954" s="1"/>
  <c r="C955" s="1"/>
  <c r="C956" s="1"/>
  <c r="C957" s="1"/>
  <c r="C958" s="1"/>
  <c r="C959" s="1"/>
  <c r="C960" s="1"/>
  <c r="C961" s="1"/>
  <c r="C962" s="1"/>
  <c r="C963" s="1"/>
  <c r="C964" s="1"/>
  <c r="C965" s="1"/>
  <c r="C966" s="1"/>
  <c r="C967" s="1"/>
  <c r="C968" s="1"/>
  <c r="C969" s="1"/>
  <c r="C970" s="1"/>
  <c r="C971" s="1"/>
  <c r="C972" s="1"/>
  <c r="C973" s="1"/>
  <c r="C974" s="1"/>
  <c r="C975" s="1"/>
  <c r="C976" s="1"/>
  <c r="C977" s="1"/>
  <c r="C978" s="1"/>
  <c r="C979" s="1"/>
  <c r="C980" s="1"/>
  <c r="C981" s="1"/>
  <c r="C982" s="1"/>
  <c r="C983" s="1"/>
  <c r="C984" s="1"/>
  <c r="C985" s="1"/>
  <c r="C986" s="1"/>
  <c r="C987" s="1"/>
  <c r="C988" s="1"/>
  <c r="C989" s="1"/>
  <c r="C990" s="1"/>
  <c r="C991" s="1"/>
  <c r="C992" s="1"/>
  <c r="C993" s="1"/>
  <c r="C994" s="1"/>
  <c r="C995" s="1"/>
  <c r="C996" s="1"/>
  <c r="C997" s="1"/>
  <c r="C998" s="1"/>
  <c r="C999" s="1"/>
  <c r="C1000" s="1"/>
  <c r="C1001" s="1"/>
  <c r="C1002" s="1"/>
  <c r="C1003" s="1"/>
  <c r="C1004" s="1"/>
  <c r="C1005" s="1"/>
  <c r="C1006" s="1"/>
  <c r="C1007" s="1"/>
  <c r="C1008" s="1"/>
  <c r="C1009" s="1"/>
  <c r="C1010" s="1"/>
  <c r="C1011" s="1"/>
  <c r="C1012" s="1"/>
  <c r="C1013" s="1"/>
  <c r="C1014" s="1"/>
  <c r="C1015" s="1"/>
  <c r="C1016" s="1"/>
  <c r="C1017" s="1"/>
  <c r="C1018" s="1"/>
  <c r="C1019" s="1"/>
  <c r="C1020" s="1"/>
  <c r="C1021" s="1"/>
  <c r="C1022" s="1"/>
  <c r="C1023" s="1"/>
  <c r="C1024" s="1"/>
  <c r="C1025" s="1"/>
  <c r="C1026" s="1"/>
  <c r="C1027" s="1"/>
  <c r="C1028" s="1"/>
  <c r="C1029" s="1"/>
  <c r="C1030" s="1"/>
  <c r="C1031" s="1"/>
  <c r="C1032" s="1"/>
  <c r="C1033" s="1"/>
  <c r="C1034" s="1"/>
  <c r="C1035" s="1"/>
  <c r="C1036" s="1"/>
  <c r="C1037" s="1"/>
  <c r="C1038" s="1"/>
  <c r="C1039" s="1"/>
  <c r="C1040" s="1"/>
  <c r="C1041" s="1"/>
  <c r="C1042" s="1"/>
  <c r="C1043" s="1"/>
  <c r="C1044" s="1"/>
  <c r="C1045" s="1"/>
  <c r="C1046" s="1"/>
  <c r="C1047" s="1"/>
  <c r="C1048" s="1"/>
  <c r="C1049" s="1"/>
  <c r="C1050" s="1"/>
  <c r="C1051" s="1"/>
  <c r="C1052" s="1"/>
  <c r="C1053" s="1"/>
  <c r="C1054" s="1"/>
  <c r="C1055" s="1"/>
  <c r="C1056" s="1"/>
  <c r="C1057" s="1"/>
  <c r="C1058" s="1"/>
  <c r="C1059" s="1"/>
  <c r="C1060" s="1"/>
  <c r="C1061" s="1"/>
  <c r="C1062" s="1"/>
  <c r="C1063" s="1"/>
  <c r="C1064" s="1"/>
  <c r="C1065" s="1"/>
  <c r="C1066" s="1"/>
  <c r="C1067" s="1"/>
  <c r="C1068" s="1"/>
  <c r="C1069" s="1"/>
  <c r="C1070" s="1"/>
  <c r="C1071" s="1"/>
  <c r="C1072" s="1"/>
  <c r="C1073" s="1"/>
  <c r="C1074" s="1"/>
  <c r="C1075" s="1"/>
  <c r="C1076" s="1"/>
  <c r="C1077" s="1"/>
  <c r="C1078" s="1"/>
  <c r="C1079" s="1"/>
  <c r="C1080" s="1"/>
  <c r="C1081" s="1"/>
  <c r="C1082" s="1"/>
  <c r="C1083" s="1"/>
  <c r="C1084" s="1"/>
  <c r="C1085" s="1"/>
  <c r="C1086" s="1"/>
  <c r="C1087" s="1"/>
  <c r="C1088" s="1"/>
  <c r="C1089" s="1"/>
  <c r="C1090" s="1"/>
  <c r="C1091" s="1"/>
  <c r="C1092" s="1"/>
  <c r="C1093" s="1"/>
  <c r="C1094" s="1"/>
  <c r="C1095" s="1"/>
  <c r="C1096" s="1"/>
  <c r="C1097" s="1"/>
  <c r="C1098" s="1"/>
  <c r="C1099" s="1"/>
  <c r="C1100" s="1"/>
  <c r="C1101" s="1"/>
  <c r="C1102" s="1"/>
  <c r="C1103" s="1"/>
  <c r="C1104" s="1"/>
  <c r="C1105" s="1"/>
  <c r="C1106" s="1"/>
  <c r="C1107" s="1"/>
  <c r="C1108" s="1"/>
  <c r="C1109" s="1"/>
  <c r="C1110" s="1"/>
  <c r="C1111" s="1"/>
  <c r="C1112" s="1"/>
  <c r="C1113" s="1"/>
  <c r="C1114" s="1"/>
  <c r="C1115" s="1"/>
  <c r="C1116" s="1"/>
  <c r="C1117" s="1"/>
  <c r="C1118" s="1"/>
  <c r="C1119" s="1"/>
  <c r="C1120" s="1"/>
  <c r="C1121" s="1"/>
  <c r="C1122" s="1"/>
  <c r="C1123" s="1"/>
  <c r="C1124" s="1"/>
  <c r="C1125" s="1"/>
  <c r="C1126" s="1"/>
  <c r="C1127" s="1"/>
  <c r="C1128" s="1"/>
  <c r="C1129" s="1"/>
  <c r="C1130" s="1"/>
  <c r="C1131" s="1"/>
  <c r="C1132" s="1"/>
  <c r="C1133" s="1"/>
  <c r="C1134" s="1"/>
  <c r="C1135" s="1"/>
  <c r="C1136" s="1"/>
  <c r="C1137" s="1"/>
  <c r="C1138" s="1"/>
  <c r="C1139" s="1"/>
  <c r="C1140" s="1"/>
  <c r="C1141" s="1"/>
  <c r="C1142" s="1"/>
  <c r="C1143" s="1"/>
  <c r="C1144" s="1"/>
  <c r="C1145" s="1"/>
  <c r="C1146" s="1"/>
  <c r="C1147" s="1"/>
  <c r="C1148" s="1"/>
  <c r="C1149" s="1"/>
  <c r="C1150" s="1"/>
  <c r="C1151" s="1"/>
  <c r="C1152" s="1"/>
  <c r="C1153" s="1"/>
  <c r="C1154" s="1"/>
  <c r="C1155" s="1"/>
  <c r="C1156" s="1"/>
  <c r="C1157" s="1"/>
  <c r="C1158" s="1"/>
  <c r="C1159" s="1"/>
  <c r="C1160" s="1"/>
  <c r="C1161" s="1"/>
  <c r="C1162" s="1"/>
  <c r="C1163" s="1"/>
  <c r="C1164" s="1"/>
  <c r="C1165" s="1"/>
  <c r="C1166" s="1"/>
  <c r="C1167" s="1"/>
  <c r="C1168" s="1"/>
  <c r="C1169" s="1"/>
  <c r="C1170" s="1"/>
  <c r="C1171" s="1"/>
  <c r="C1172" s="1"/>
  <c r="C1173" s="1"/>
  <c r="C1174" s="1"/>
  <c r="C1175" s="1"/>
  <c r="C1176" s="1"/>
  <c r="C1177" s="1"/>
  <c r="C1178" s="1"/>
  <c r="C1179" s="1"/>
  <c r="C1180" s="1"/>
  <c r="C1181" s="1"/>
  <c r="C1182" s="1"/>
  <c r="C1183" s="1"/>
  <c r="C1184" s="1"/>
  <c r="C1185" s="1"/>
  <c r="C1186" s="1"/>
  <c r="C1187" s="1"/>
  <c r="C1188" s="1"/>
  <c r="C1189" s="1"/>
  <c r="C1190" s="1"/>
  <c r="C1191" s="1"/>
  <c r="C1192" s="1"/>
  <c r="C1193" s="1"/>
  <c r="C1194" s="1"/>
  <c r="C1195" s="1"/>
  <c r="C1196" s="1"/>
  <c r="C1197" s="1"/>
  <c r="C1198" s="1"/>
  <c r="C1199" s="1"/>
  <c r="C1200" s="1"/>
  <c r="C1201" s="1"/>
  <c r="C1202" s="1"/>
  <c r="C1203" s="1"/>
  <c r="C1204" s="1"/>
  <c r="C1205" s="1"/>
  <c r="C1206" s="1"/>
  <c r="C1207" s="1"/>
  <c r="C1208" s="1"/>
  <c r="C1209" s="1"/>
  <c r="AJ80" s="1"/>
  <c r="BA47" s="1"/>
  <c r="K68" i="3"/>
  <c r="P60" i="2"/>
  <c r="J60"/>
  <c r="L60"/>
  <c r="R60"/>
  <c r="AJ76" i="1" l="1"/>
  <c r="AP47" s="1"/>
  <c r="AJ74"/>
  <c r="AJ75" s="1"/>
  <c r="AP46" s="1"/>
  <c r="B1213"/>
  <c r="AJ47" s="1"/>
  <c r="AJ37"/>
  <c r="AJ78"/>
  <c r="AJ79" s="1"/>
  <c r="BA46" s="1"/>
  <c r="AJ55"/>
  <c r="AJ59" s="1"/>
  <c r="AZ27" s="1"/>
  <c r="B1216"/>
  <c r="AJ65" s="1"/>
  <c r="B1217"/>
  <c r="AJ68" s="1"/>
  <c r="J59" i="2"/>
  <c r="J58"/>
  <c r="J30"/>
  <c r="P30"/>
  <c r="R30"/>
  <c r="L30"/>
  <c r="AJ58" i="1" l="1"/>
  <c r="AZ26" s="1"/>
  <c r="AJ62"/>
  <c r="AZ32" s="1"/>
  <c r="AJ66"/>
  <c r="AJ71" s="1"/>
  <c r="AV62" s="1"/>
  <c r="AJ69"/>
  <c r="AJ72" s="1"/>
  <c r="AV63" s="1"/>
  <c r="AJ44"/>
  <c r="AS32" s="1"/>
  <c r="BJ13" s="1"/>
  <c r="BL13" s="1"/>
  <c r="AJ43"/>
  <c r="AS31" s="1"/>
  <c r="BJ12" s="1"/>
  <c r="BL11" s="1"/>
  <c r="AJ51"/>
  <c r="AJ54" s="1"/>
  <c r="AN63" s="1"/>
  <c r="AJ48"/>
  <c r="AJ53" s="1"/>
  <c r="AN62" s="1"/>
  <c r="AJ39"/>
  <c r="AS25" s="1"/>
  <c r="BF12" s="1"/>
  <c r="BH11" s="1"/>
  <c r="AJ45"/>
  <c r="AS33" s="1"/>
  <c r="BJ14" s="1"/>
  <c r="BL15" s="1"/>
  <c r="BL35" s="1"/>
  <c r="AJ41"/>
  <c r="AS27" s="1"/>
  <c r="BF14" s="1"/>
  <c r="BH15" s="1"/>
  <c r="AJ40"/>
  <c r="AS26" s="1"/>
  <c r="BF13" s="1"/>
  <c r="BH13" s="1"/>
  <c r="BH34" s="1"/>
  <c r="AJ61"/>
  <c r="AZ31" s="1"/>
  <c r="AJ57"/>
  <c r="AZ25" s="1"/>
  <c r="AJ63"/>
  <c r="AZ33" s="1"/>
  <c r="J28" i="2"/>
  <c r="J29"/>
  <c r="J11" l="1"/>
  <c r="J10"/>
  <c r="BL16" i="1"/>
  <c r="BL23" s="1"/>
  <c r="U11" i="2"/>
  <c r="BJ56" i="1"/>
  <c r="BL56" s="1"/>
  <c r="BL77" s="1"/>
  <c r="S10" i="2"/>
  <c r="BH14" i="1"/>
  <c r="BH22" s="1"/>
  <c r="BH35"/>
  <c r="BH16"/>
  <c r="BH33"/>
  <c r="BH12"/>
  <c r="BL33"/>
  <c r="BL12"/>
  <c r="BL34"/>
  <c r="BL14"/>
  <c r="BJ57"/>
  <c r="BL58" s="1"/>
  <c r="BF55"/>
  <c r="BH54" s="1"/>
  <c r="BF56"/>
  <c r="BH56" s="1"/>
  <c r="BF57"/>
  <c r="BH58" s="1"/>
  <c r="BJ55"/>
  <c r="BL54" s="1"/>
  <c r="BL19" l="1"/>
  <c r="BL28"/>
  <c r="BL29" s="1"/>
  <c r="BL30" s="1"/>
  <c r="BL57"/>
  <c r="BL65" s="1"/>
  <c r="BH18"/>
  <c r="BH36"/>
  <c r="BH37" s="1"/>
  <c r="BF37" s="1"/>
  <c r="BH78"/>
  <c r="BH59"/>
  <c r="BL36"/>
  <c r="BL37" s="1"/>
  <c r="BJ37" s="1"/>
  <c r="BL76"/>
  <c r="BL55"/>
  <c r="BH77"/>
  <c r="BH57"/>
  <c r="BH76"/>
  <c r="BH55"/>
  <c r="BL78"/>
  <c r="BL59"/>
  <c r="BL18"/>
  <c r="BL22"/>
  <c r="BL21"/>
  <c r="BL17"/>
  <c r="BH17"/>
  <c r="BH21"/>
  <c r="BH23"/>
  <c r="BH28"/>
  <c r="BH29" s="1"/>
  <c r="BH30" s="1"/>
  <c r="BH19"/>
  <c r="BL61" l="1"/>
  <c r="BH79"/>
  <c r="BH80" s="1"/>
  <c r="BF80" s="1"/>
  <c r="BH24"/>
  <c r="BH26" s="1"/>
  <c r="BL20"/>
  <c r="BL25" s="1"/>
  <c r="BH40"/>
  <c r="BF40" s="1"/>
  <c r="BH39"/>
  <c r="BF39" s="1"/>
  <c r="BL39"/>
  <c r="BJ39" s="1"/>
  <c r="BL40"/>
  <c r="BJ40" s="1"/>
  <c r="BH20"/>
  <c r="BH25" s="1"/>
  <c r="BL24"/>
  <c r="BL26" s="1"/>
  <c r="BL79"/>
  <c r="BL80" s="1"/>
  <c r="BJ80" s="1"/>
  <c r="BL71"/>
  <c r="BL72" s="1"/>
  <c r="BL73" s="1"/>
  <c r="BL62"/>
  <c r="BL66"/>
  <c r="BH64"/>
  <c r="BH60"/>
  <c r="BH61"/>
  <c r="BH65"/>
  <c r="BL60"/>
  <c r="BL64"/>
  <c r="BH66"/>
  <c r="BH71"/>
  <c r="BH72" s="1"/>
  <c r="BH73" s="1"/>
  <c r="BH62"/>
  <c r="BL67" l="1"/>
  <c r="BL69" s="1"/>
  <c r="BL27"/>
  <c r="BL38" s="1"/>
  <c r="BJ38" s="1"/>
  <c r="BJ43" s="1"/>
  <c r="AS61" s="1"/>
  <c r="J55" i="2" s="1"/>
  <c r="BL63" i="1"/>
  <c r="BL68" s="1"/>
  <c r="BH27"/>
  <c r="BH38" s="1"/>
  <c r="BF38" s="1"/>
  <c r="BF43" s="1"/>
  <c r="BH63"/>
  <c r="BH68" s="1"/>
  <c r="BH82"/>
  <c r="BF82" s="1"/>
  <c r="BH83"/>
  <c r="BF83" s="1"/>
  <c r="BH67"/>
  <c r="BH69" s="1"/>
  <c r="BL82"/>
  <c r="BJ82" s="1"/>
  <c r="BL83"/>
  <c r="BJ83" s="1"/>
  <c r="BL70" l="1"/>
  <c r="BL81" s="1"/>
  <c r="BJ81" s="1"/>
  <c r="BJ86" s="1"/>
  <c r="AS60"/>
  <c r="J54" i="2" s="1"/>
  <c r="BL41" i="1"/>
  <c r="BL42" s="1"/>
  <c r="BL44" s="1"/>
  <c r="BJ52" s="1"/>
  <c r="AN58" s="1"/>
  <c r="G52" i="2" s="1"/>
  <c r="BH70" i="1"/>
  <c r="BH81" s="1"/>
  <c r="BF81" s="1"/>
  <c r="BF86" s="1"/>
  <c r="AP54"/>
  <c r="J48" i="2" s="1"/>
  <c r="AS53" i="1"/>
  <c r="M47" i="2" s="1"/>
  <c r="AS52" i="1"/>
  <c r="M46" i="2" s="1"/>
  <c r="BF51" i="1"/>
  <c r="AN48" s="1"/>
  <c r="G42" i="2" s="1"/>
  <c r="AP52" i="1"/>
  <c r="J46" i="2" s="1"/>
  <c r="BH41" i="1"/>
  <c r="BH42" s="1"/>
  <c r="BH44" s="1"/>
  <c r="BF52" s="1"/>
  <c r="AN49" s="1"/>
  <c r="G43" i="2" s="1"/>
  <c r="AP53" i="1"/>
  <c r="J47" i="2" s="1"/>
  <c r="AS54" i="1"/>
  <c r="M48" i="2" s="1"/>
  <c r="J25"/>
  <c r="BJ51" i="1"/>
  <c r="AN57" s="1"/>
  <c r="G51" i="2" s="1"/>
  <c r="AP61" i="1"/>
  <c r="G55" i="2" s="1"/>
  <c r="AS59" i="1"/>
  <c r="J53" i="2" s="1"/>
  <c r="AP59" i="1"/>
  <c r="G53" i="2" s="1"/>
  <c r="AP60" i="1"/>
  <c r="G54" i="2" s="1"/>
  <c r="BH98" i="1" l="1"/>
  <c r="AV49" i="2" s="1"/>
  <c r="BF94" i="1"/>
  <c r="AV48" s="1"/>
  <c r="Q42" i="2" s="1"/>
  <c r="AW54" i="1"/>
  <c r="Q18" i="2" s="1"/>
  <c r="BL84" i="1"/>
  <c r="BL85" s="1"/>
  <c r="BL87" s="1"/>
  <c r="BJ95" s="1"/>
  <c r="AW58" s="1"/>
  <c r="Q52" i="2" s="1"/>
  <c r="AZ59" i="1"/>
  <c r="R53" i="2" s="1"/>
  <c r="M17"/>
  <c r="J24"/>
  <c r="G22"/>
  <c r="J18"/>
  <c r="G12"/>
  <c r="G13"/>
  <c r="M18"/>
  <c r="J16"/>
  <c r="M16"/>
  <c r="J17"/>
  <c r="AZ60" i="1"/>
  <c r="R54" i="2" s="1"/>
  <c r="AW59" i="1"/>
  <c r="G24" i="2"/>
  <c r="J23"/>
  <c r="G21"/>
  <c r="G23"/>
  <c r="G25"/>
  <c r="BJ94" i="1"/>
  <c r="AW57" s="1"/>
  <c r="Q51" i="2" s="1"/>
  <c r="AW60" i="1"/>
  <c r="Q54" i="2" s="1"/>
  <c r="AZ61" i="1"/>
  <c r="R55" i="2" s="1"/>
  <c r="AW61" i="1"/>
  <c r="Q55" i="2" s="1"/>
  <c r="BH84" i="1"/>
  <c r="BH85" s="1"/>
  <c r="BH87" s="1"/>
  <c r="BF95" s="1"/>
  <c r="AV49" s="1"/>
  <c r="AZ53"/>
  <c r="AZ54"/>
  <c r="AZ52"/>
  <c r="AW53"/>
  <c r="Q17" i="2" s="1"/>
  <c r="AW52" i="1"/>
  <c r="Q16" i="2" s="1"/>
  <c r="BJ74" i="1" l="1"/>
  <c r="BO93" s="1"/>
  <c r="BO108" s="1"/>
  <c r="V12" i="3"/>
  <c r="BF74" i="1"/>
  <c r="AU47" i="2" s="1"/>
  <c r="BF31" i="1"/>
  <c r="CA107" i="3" s="1"/>
  <c r="CW53" i="1"/>
  <c r="BJ31"/>
  <c r="BO14" s="1"/>
  <c r="AR48" i="2"/>
  <c r="AR49" s="1"/>
  <c r="AS48"/>
  <c r="AS49" s="1"/>
  <c r="AT48"/>
  <c r="AT49" s="1"/>
  <c r="R25"/>
  <c r="R24"/>
  <c r="R23"/>
  <c r="R16"/>
  <c r="R46"/>
  <c r="R17"/>
  <c r="R47"/>
  <c r="R18"/>
  <c r="R48"/>
  <c r="Q12"/>
  <c r="Q47"/>
  <c r="Q48"/>
  <c r="Q46"/>
  <c r="Q22"/>
  <c r="Q43"/>
  <c r="Q23"/>
  <c r="Q53"/>
  <c r="Q25"/>
  <c r="Q24"/>
  <c r="Q21"/>
  <c r="Q13"/>
  <c r="V68" i="3" l="1"/>
  <c r="V70" s="1"/>
  <c r="V63" s="1"/>
  <c r="BO109" i="1"/>
  <c r="AP36"/>
  <c r="AQ36" s="1"/>
  <c r="AU48" i="2"/>
  <c r="CA171" i="3"/>
  <c r="CA172" s="1"/>
  <c r="CA140"/>
  <c r="BO92" i="1"/>
  <c r="BF76"/>
  <c r="BZ107" s="1"/>
  <c r="BO13"/>
  <c r="BO26" s="1"/>
  <c r="BF33"/>
  <c r="BZ67" s="1"/>
  <c r="BO54"/>
  <c r="AP35"/>
  <c r="AQ35" s="1"/>
  <c r="BO29"/>
  <c r="BO30"/>
  <c r="BO58"/>
  <c r="BO59" s="1"/>
  <c r="BO112"/>
  <c r="BO113"/>
  <c r="V9" i="3"/>
  <c r="V80" s="1"/>
  <c r="V122" s="1"/>
  <c r="V124" s="1"/>
  <c r="V8"/>
  <c r="V79" s="1"/>
  <c r="V121" s="1"/>
  <c r="V7"/>
  <c r="V78" s="1"/>
  <c r="V95" s="1"/>
  <c r="AN42" i="2"/>
  <c r="AM42" s="1"/>
  <c r="W25" s="1"/>
  <c r="V64" i="3"/>
  <c r="AU49" i="2"/>
  <c r="V10" i="3" s="1"/>
  <c r="CA20" s="1"/>
  <c r="G20" l="1"/>
  <c r="AQ37" i="1"/>
  <c r="AP37"/>
  <c r="CL120"/>
  <c r="CL121"/>
  <c r="CL119"/>
  <c r="BZ121"/>
  <c r="BZ119"/>
  <c r="BZ120"/>
  <c r="BO105"/>
  <c r="BO133"/>
  <c r="BO27"/>
  <c r="BO32" s="1"/>
  <c r="BO28"/>
  <c r="BO60"/>
  <c r="BO56"/>
  <c r="BO57" s="1"/>
  <c r="BO55"/>
  <c r="BO33"/>
  <c r="BO34"/>
  <c r="J20" i="3"/>
  <c r="J68"/>
  <c r="I68"/>
  <c r="V40"/>
  <c r="G68"/>
  <c r="V42"/>
  <c r="I20"/>
  <c r="V125"/>
  <c r="V112"/>
  <c r="V113" s="1"/>
  <c r="V114" s="1"/>
  <c r="V118" s="1"/>
  <c r="V130" s="1"/>
  <c r="CA100" s="1"/>
  <c r="V96"/>
  <c r="V120" s="1"/>
  <c r="V100"/>
  <c r="V102" s="1"/>
  <c r="V98"/>
  <c r="V99" s="1"/>
  <c r="AM41" i="2"/>
  <c r="W24" s="1"/>
  <c r="AM40"/>
  <c r="W23" s="1"/>
  <c r="V66" i="3"/>
  <c r="V22" i="2"/>
  <c r="W55"/>
  <c r="CA53" i="3"/>
  <c r="CA84"/>
  <c r="CA85" s="1"/>
  <c r="BO35" i="1" l="1"/>
  <c r="BO45" s="1"/>
  <c r="BO107"/>
  <c r="BO106"/>
  <c r="BO111" s="1"/>
  <c r="BO114" s="1"/>
  <c r="BO115" s="1"/>
  <c r="BO116" s="1"/>
  <c r="BO134"/>
  <c r="BO137"/>
  <c r="BO138" s="1"/>
  <c r="BO135"/>
  <c r="BO136" s="1"/>
  <c r="BO139"/>
  <c r="BO61"/>
  <c r="BO80" s="1"/>
  <c r="BO36"/>
  <c r="BO37" s="1"/>
  <c r="V126" i="3"/>
  <c r="V132" s="1"/>
  <c r="CA102" s="1"/>
  <c r="AS40"/>
  <c r="CA13"/>
  <c r="BW10" s="1"/>
  <c r="AF20"/>
  <c r="AF44"/>
  <c r="V106"/>
  <c r="W105" s="1"/>
  <c r="W103"/>
  <c r="W104"/>
  <c r="CA178"/>
  <c r="G53" s="1"/>
  <c r="G95" s="1"/>
  <c r="CA177"/>
  <c r="CA91"/>
  <c r="CA90"/>
  <c r="W54" i="2"/>
  <c r="W53"/>
  <c r="V52"/>
  <c r="BO124" i="1" l="1"/>
  <c r="BO140"/>
  <c r="BO159" s="1"/>
  <c r="BO40"/>
  <c r="BO20" s="1"/>
  <c r="BR14" s="1"/>
  <c r="BR25" s="1"/>
  <c r="BU16" s="1"/>
  <c r="BO43"/>
  <c r="BO44" s="1"/>
  <c r="BO46" s="1"/>
  <c r="BO47" s="1"/>
  <c r="BO48" s="1"/>
  <c r="BO49" s="1"/>
  <c r="BO50" s="1"/>
  <c r="BO51" s="1"/>
  <c r="BO122"/>
  <c r="BO123" s="1"/>
  <c r="BO125" s="1"/>
  <c r="BO126" s="1"/>
  <c r="BO127" s="1"/>
  <c r="BO128" s="1"/>
  <c r="BO129" s="1"/>
  <c r="BO130" s="1"/>
  <c r="BO119"/>
  <c r="BO99" s="1"/>
  <c r="BR93" s="1"/>
  <c r="BR104" s="1"/>
  <c r="BU94" s="1"/>
  <c r="CA15" i="3"/>
  <c r="CA37" s="1"/>
  <c r="AS42"/>
  <c r="AS63" s="1"/>
  <c r="V107"/>
  <c r="V119" s="1"/>
  <c r="V131" s="1"/>
  <c r="CA14" s="1"/>
  <c r="BX26"/>
  <c r="BW26"/>
  <c r="G52"/>
  <c r="K21" i="2" s="1"/>
  <c r="K51" s="1"/>
  <c r="G94" i="3"/>
  <c r="K23" i="2"/>
  <c r="K53" s="1"/>
  <c r="CA126" i="3"/>
  <c r="CA124"/>
  <c r="BW31"/>
  <c r="BU24" i="1" l="1"/>
  <c r="BU25"/>
  <c r="BO65"/>
  <c r="BO66" s="1"/>
  <c r="BO67" s="1"/>
  <c r="BO81" s="1"/>
  <c r="BO70"/>
  <c r="BO76"/>
  <c r="BO77"/>
  <c r="BO149"/>
  <c r="BO156"/>
  <c r="BO144"/>
  <c r="BO145" s="1"/>
  <c r="BO146" s="1"/>
  <c r="BO160" s="1"/>
  <c r="BO155"/>
  <c r="BO157" s="1"/>
  <c r="BO163" s="1"/>
  <c r="BU102"/>
  <c r="BU103"/>
  <c r="CA39" i="3"/>
  <c r="AS41"/>
  <c r="AS54" s="1"/>
  <c r="CA101"/>
  <c r="AH121"/>
  <c r="BX47"/>
  <c r="BX51" s="1"/>
  <c r="CA18" s="1"/>
  <c r="CA110"/>
  <c r="CA111" s="1"/>
  <c r="AF60"/>
  <c r="AG60"/>
  <c r="AL60"/>
  <c r="AP49" s="1"/>
  <c r="AK60"/>
  <c r="AJ60"/>
  <c r="AI60"/>
  <c r="AM60"/>
  <c r="AP53" s="1"/>
  <c r="AH60"/>
  <c r="BW47"/>
  <c r="BW51" s="1"/>
  <c r="AG36"/>
  <c r="AL36"/>
  <c r="AP28" s="1"/>
  <c r="AH36"/>
  <c r="AK36"/>
  <c r="AI36"/>
  <c r="AM36"/>
  <c r="AP32" s="1"/>
  <c r="AJ36"/>
  <c r="AF36"/>
  <c r="BO78" i="1" l="1"/>
  <c r="BO84" s="1"/>
  <c r="BO82"/>
  <c r="BO73"/>
  <c r="BO83" s="1"/>
  <c r="BO152"/>
  <c r="BO162" s="1"/>
  <c r="BO161"/>
  <c r="AF62" i="3"/>
  <c r="CA27"/>
  <c r="CA105"/>
  <c r="CA28"/>
  <c r="CA29" s="1"/>
  <c r="CA115"/>
  <c r="CA116" s="1"/>
  <c r="CA112"/>
  <c r="CA113" s="1"/>
  <c r="AP54"/>
  <c r="AP50"/>
  <c r="AH120"/>
  <c r="AH122" s="1"/>
  <c r="AH124" s="1"/>
  <c r="AH125" s="1"/>
  <c r="AF63"/>
  <c r="AP33"/>
  <c r="AP29"/>
  <c r="BO85" i="1" l="1"/>
  <c r="BO19" s="1"/>
  <c r="BR13" s="1"/>
  <c r="BR21" s="1"/>
  <c r="BR22" s="1"/>
  <c r="BR23" s="1"/>
  <c r="BR24" s="1"/>
  <c r="BU15" s="1"/>
  <c r="BU47" s="1"/>
  <c r="BO164"/>
  <c r="BO98" s="1"/>
  <c r="BR92" s="1"/>
  <c r="BR100" s="1"/>
  <c r="BR101" s="1"/>
  <c r="BR102" s="1"/>
  <c r="BR103" s="1"/>
  <c r="BU93" s="1"/>
  <c r="BU100" s="1"/>
  <c r="BU105" s="1"/>
  <c r="BU23"/>
  <c r="BU22"/>
  <c r="BU27" s="1"/>
  <c r="AP61" i="3"/>
  <c r="AS45" s="1"/>
  <c r="AP60"/>
  <c r="AS46" s="1"/>
  <c r="AS55" s="1"/>
  <c r="CA30"/>
  <c r="CA31" s="1"/>
  <c r="CA33" s="1"/>
  <c r="CA34" s="1"/>
  <c r="CA40" s="1"/>
  <c r="CA44" s="1"/>
  <c r="CA114"/>
  <c r="CA117" s="1"/>
  <c r="CA118" s="1"/>
  <c r="CA120" s="1"/>
  <c r="CA121" s="1"/>
  <c r="CA127" s="1"/>
  <c r="BU125" i="1" l="1"/>
  <c r="BU131" s="1"/>
  <c r="BU101"/>
  <c r="BU29"/>
  <c r="BU30" s="1"/>
  <c r="BU28"/>
  <c r="BU53"/>
  <c r="BU49"/>
  <c r="BU50" s="1"/>
  <c r="BU51"/>
  <c r="BU52" s="1"/>
  <c r="BU48"/>
  <c r="BU106"/>
  <c r="BU107"/>
  <c r="BU108" s="1"/>
  <c r="BU126"/>
  <c r="AS51" i="3"/>
  <c r="AS52" s="1"/>
  <c r="AS53" s="1"/>
  <c r="AS56" s="1"/>
  <c r="AS57" s="1"/>
  <c r="AS58"/>
  <c r="CA41"/>
  <c r="CA42"/>
  <c r="CA128"/>
  <c r="CA131"/>
  <c r="CA129"/>
  <c r="BU127" i="1" l="1"/>
  <c r="BU128" s="1"/>
  <c r="BU129"/>
  <c r="BU130" s="1"/>
  <c r="BU37"/>
  <c r="BU38" s="1"/>
  <c r="BU31"/>
  <c r="BU54"/>
  <c r="BU78" s="1"/>
  <c r="BU109"/>
  <c r="BU115"/>
  <c r="BU116" s="1"/>
  <c r="AS59" i="3"/>
  <c r="AS60" s="1"/>
  <c r="AS61" s="1"/>
  <c r="AS64" s="1"/>
  <c r="AS65" s="1"/>
  <c r="CA43"/>
  <c r="CA45" s="1"/>
  <c r="CA54" s="1"/>
  <c r="CA55" s="1"/>
  <c r="CA56" s="1"/>
  <c r="CA130"/>
  <c r="CA132" s="1"/>
  <c r="BU132" i="1" l="1"/>
  <c r="BU155" s="1"/>
  <c r="BU35"/>
  <c r="BU36" s="1"/>
  <c r="BU39" s="1"/>
  <c r="BU40" s="1"/>
  <c r="BU41" s="1"/>
  <c r="BU42" s="1"/>
  <c r="BU43" s="1"/>
  <c r="BU44" s="1"/>
  <c r="BU45" s="1"/>
  <c r="BU32"/>
  <c r="BU11" s="1"/>
  <c r="BO10" s="1"/>
  <c r="BU113"/>
  <c r="BU114" s="1"/>
  <c r="BU117" s="1"/>
  <c r="BU118" s="1"/>
  <c r="BU119" s="1"/>
  <c r="BU120" s="1"/>
  <c r="BU121" s="1"/>
  <c r="BU122" s="1"/>
  <c r="BU123" s="1"/>
  <c r="BU110"/>
  <c r="BU89" s="1"/>
  <c r="BO89" s="1"/>
  <c r="AS68" i="3"/>
  <c r="AW12"/>
  <c r="AY5" s="1"/>
  <c r="AY6" s="1"/>
  <c r="AY9" s="1"/>
  <c r="AY23" s="1"/>
  <c r="AS66"/>
  <c r="AS67" s="1"/>
  <c r="CA51"/>
  <c r="CA141"/>
  <c r="CA138"/>
  <c r="CA58"/>
  <c r="CA59" s="1"/>
  <c r="CA57"/>
  <c r="CD20" s="1"/>
  <c r="CF12" s="1"/>
  <c r="CF13" s="1"/>
  <c r="BU65" i="1" l="1"/>
  <c r="BU80" s="1"/>
  <c r="BU72"/>
  <c r="BU71"/>
  <c r="BU68"/>
  <c r="BU81" s="1"/>
  <c r="BU58"/>
  <c r="BU59" s="1"/>
  <c r="BU60" s="1"/>
  <c r="BU79" s="1"/>
  <c r="CJ65"/>
  <c r="CL58" s="1"/>
  <c r="CL59" s="1"/>
  <c r="CW13"/>
  <c r="AS69" i="3"/>
  <c r="AS87" s="1"/>
  <c r="AS88" s="1"/>
  <c r="AS89" s="1"/>
  <c r="AS90" s="1"/>
  <c r="CJ105" i="1"/>
  <c r="CL98" s="1"/>
  <c r="CL99" s="1"/>
  <c r="CL100" s="1"/>
  <c r="CL101" s="1"/>
  <c r="CL103" s="1"/>
  <c r="CO98" s="1"/>
  <c r="CO99" s="1"/>
  <c r="CW16"/>
  <c r="BU148"/>
  <c r="BU142"/>
  <c r="BU157" s="1"/>
  <c r="BU136"/>
  <c r="BU137" s="1"/>
  <c r="BU138" s="1"/>
  <c r="BU156" s="1"/>
  <c r="BU149"/>
  <c r="BU145"/>
  <c r="BU158" s="1"/>
  <c r="AY7" i="3"/>
  <c r="AY8" s="1"/>
  <c r="AY10" s="1"/>
  <c r="BB5" s="1"/>
  <c r="BB6" s="1"/>
  <c r="BC6" s="1"/>
  <c r="CA142"/>
  <c r="CA143" s="1"/>
  <c r="CA63"/>
  <c r="CA64" s="1"/>
  <c r="CA65" s="1"/>
  <c r="CA66" s="1"/>
  <c r="CA67" s="1"/>
  <c r="CA73" s="1"/>
  <c r="G44" s="1"/>
  <c r="CA60"/>
  <c r="I45" s="1"/>
  <c r="U16" i="2" s="1"/>
  <c r="CF17" i="3"/>
  <c r="CF31" s="1"/>
  <c r="CF14"/>
  <c r="CF15" s="1"/>
  <c r="CF18" s="1"/>
  <c r="CI12" s="1"/>
  <c r="CI13" s="1"/>
  <c r="AS91" l="1"/>
  <c r="AS92" s="1"/>
  <c r="AW92" s="1"/>
  <c r="AY85" s="1"/>
  <c r="AY86" s="1"/>
  <c r="AY89" s="1"/>
  <c r="AY103" s="1"/>
  <c r="CW43" i="1"/>
  <c r="CW49" s="1"/>
  <c r="CW62" s="1"/>
  <c r="AV59" s="1"/>
  <c r="AW52" i="3"/>
  <c r="AY45" s="1"/>
  <c r="AY46" s="1"/>
  <c r="AY49" s="1"/>
  <c r="AY63" s="1"/>
  <c r="BU73" i="1"/>
  <c r="BU74" s="1"/>
  <c r="BU82" s="1"/>
  <c r="BU83" s="1"/>
  <c r="BU10" s="1"/>
  <c r="BO9" s="1"/>
  <c r="CL62"/>
  <c r="CL76" s="1"/>
  <c r="CL60"/>
  <c r="CL61" s="1"/>
  <c r="CL63" s="1"/>
  <c r="CO58" s="1"/>
  <c r="CO59" s="1"/>
  <c r="CL102"/>
  <c r="CL116" s="1"/>
  <c r="CW44"/>
  <c r="BU150"/>
  <c r="BU151" s="1"/>
  <c r="BU159" s="1"/>
  <c r="BU160" s="1"/>
  <c r="BU88" s="1"/>
  <c r="BO88" s="1"/>
  <c r="CO100"/>
  <c r="CP99"/>
  <c r="BB7" i="3"/>
  <c r="CA144"/>
  <c r="CD141" s="1"/>
  <c r="CF133" s="1"/>
  <c r="CF134" s="1"/>
  <c r="CA145"/>
  <c r="CA146" s="1"/>
  <c r="CA147" s="1"/>
  <c r="I52" s="1"/>
  <c r="I94" s="1"/>
  <c r="U46" i="2"/>
  <c r="CA68" i="3"/>
  <c r="CA74" s="1"/>
  <c r="S18" i="2"/>
  <c r="S48" s="1"/>
  <c r="CA69" i="3"/>
  <c r="CA75" s="1"/>
  <c r="I44" s="1"/>
  <c r="CA70"/>
  <c r="CA76" s="1"/>
  <c r="J44" s="1"/>
  <c r="CI14"/>
  <c r="CJ13"/>
  <c r="CW45" i="1" l="1"/>
  <c r="CW48" s="1"/>
  <c r="CW61" s="1"/>
  <c r="AT58" s="1"/>
  <c r="CW47"/>
  <c r="CW60" s="1"/>
  <c r="AV57" s="1"/>
  <c r="P51" i="2" s="1"/>
  <c r="AY47" i="3"/>
  <c r="AY48" s="1"/>
  <c r="AY50" s="1"/>
  <c r="BB45" s="1"/>
  <c r="BB46" s="1"/>
  <c r="BC46" s="1"/>
  <c r="CO60" i="1"/>
  <c r="CP59"/>
  <c r="CW12"/>
  <c r="BX65"/>
  <c r="BZ58" s="1"/>
  <c r="BZ59" s="1"/>
  <c r="BX105"/>
  <c r="BZ98" s="1"/>
  <c r="BZ99" s="1"/>
  <c r="BZ102" s="1"/>
  <c r="BZ116" s="1"/>
  <c r="CW15"/>
  <c r="P53" i="2"/>
  <c r="P23"/>
  <c r="CO101" i="1"/>
  <c r="CP100"/>
  <c r="AY87" i="3"/>
  <c r="AY88" s="1"/>
  <c r="AY90" s="1"/>
  <c r="BB85" s="1"/>
  <c r="BB86" s="1"/>
  <c r="BB87" s="1"/>
  <c r="BB8"/>
  <c r="BC7"/>
  <c r="H44"/>
  <c r="T18" i="2" s="1"/>
  <c r="T48" s="1"/>
  <c r="CF138" i="3"/>
  <c r="CF152" s="1"/>
  <c r="CF135"/>
  <c r="CF136" s="1"/>
  <c r="CF139" s="1"/>
  <c r="CI133" s="1"/>
  <c r="CA150"/>
  <c r="CA151" s="1"/>
  <c r="CA152" s="1"/>
  <c r="CA153" s="1"/>
  <c r="K22" i="2"/>
  <c r="K52" s="1"/>
  <c r="J93" i="3"/>
  <c r="U19" i="2"/>
  <c r="U49" s="1"/>
  <c r="U18"/>
  <c r="U48" s="1"/>
  <c r="CI15" i="3"/>
  <c r="CJ14"/>
  <c r="P21" i="2" l="1"/>
  <c r="BZ100" i="1"/>
  <c r="BZ101" s="1"/>
  <c r="BZ103" s="1"/>
  <c r="CC98" s="1"/>
  <c r="CC99" s="1"/>
  <c r="CC100" s="1"/>
  <c r="CW20"/>
  <c r="CW31" s="1"/>
  <c r="CW32" s="1"/>
  <c r="CW33" s="1"/>
  <c r="BB47" i="3"/>
  <c r="BC47" s="1"/>
  <c r="CO61" i="1"/>
  <c r="CP60"/>
  <c r="BZ60"/>
  <c r="BZ61" s="1"/>
  <c r="BZ63" s="1"/>
  <c r="CC58" s="1"/>
  <c r="CC59" s="1"/>
  <c r="BZ62"/>
  <c r="BZ76" s="1"/>
  <c r="N22" i="2"/>
  <c r="N52"/>
  <c r="CW21" i="1"/>
  <c r="CW22" s="1"/>
  <c r="CO102"/>
  <c r="CP101"/>
  <c r="BC86" i="3"/>
  <c r="BB9"/>
  <c r="BC8"/>
  <c r="CI134"/>
  <c r="CA156"/>
  <c r="CA162" s="1"/>
  <c r="I51" s="1"/>
  <c r="I93" s="1"/>
  <c r="CA154"/>
  <c r="CA160" s="1"/>
  <c r="G51" s="1"/>
  <c r="G93" s="1"/>
  <c r="CA157"/>
  <c r="CA163" s="1"/>
  <c r="J51" s="1"/>
  <c r="G20" i="2" s="1"/>
  <c r="H50" s="1"/>
  <c r="CA155" i="3"/>
  <c r="CA161" s="1"/>
  <c r="H51" s="1"/>
  <c r="BB88"/>
  <c r="BC87"/>
  <c r="CJ15"/>
  <c r="CI17"/>
  <c r="CD99" i="1" l="1"/>
  <c r="BB48" i="3"/>
  <c r="BC48" s="1"/>
  <c r="CW23" i="1"/>
  <c r="CW24" s="1"/>
  <c r="CW25" s="1"/>
  <c r="CW26" s="1"/>
  <c r="CW29"/>
  <c r="CW30" s="1"/>
  <c r="CW34" s="1"/>
  <c r="CD59"/>
  <c r="CC60"/>
  <c r="CP61"/>
  <c r="CO62"/>
  <c r="CW27"/>
  <c r="CC101"/>
  <c r="CD100"/>
  <c r="CP102"/>
  <c r="CO103"/>
  <c r="BB10" i="3"/>
  <c r="BC9"/>
  <c r="G19" i="2"/>
  <c r="G49" s="1"/>
  <c r="H93" i="3"/>
  <c r="H19" i="2"/>
  <c r="H49" s="1"/>
  <c r="CJ134" i="3"/>
  <c r="CI135"/>
  <c r="BB89"/>
  <c r="BC88"/>
  <c r="CJ17"/>
  <c r="CI18"/>
  <c r="BB49" l="1"/>
  <c r="BB50" s="1"/>
  <c r="BB51" s="1"/>
  <c r="CW35" i="1"/>
  <c r="CW40" s="1"/>
  <c r="CW57" s="1"/>
  <c r="AT53" s="1"/>
  <c r="N17" i="2" s="1"/>
  <c r="CW37" i="1"/>
  <c r="CW39" s="1"/>
  <c r="CW56" s="1"/>
  <c r="AV52" s="1"/>
  <c r="P16" i="2" s="1"/>
  <c r="CP62" i="1"/>
  <c r="CO63"/>
  <c r="CC61"/>
  <c r="CD60"/>
  <c r="CW38"/>
  <c r="CW41" s="1"/>
  <c r="CW58" s="1"/>
  <c r="AV54" s="1"/>
  <c r="P48" i="2" s="1"/>
  <c r="BC49" i="3"/>
  <c r="CP103" i="1"/>
  <c r="CO104"/>
  <c r="CC102"/>
  <c r="CD101"/>
  <c r="BC10" i="3"/>
  <c r="BB11"/>
  <c r="CI136"/>
  <c r="CJ135"/>
  <c r="BB90"/>
  <c r="BC89"/>
  <c r="CJ18"/>
  <c r="CI19"/>
  <c r="BC50" l="1"/>
  <c r="P18" i="2"/>
  <c r="P46"/>
  <c r="CD61" i="1"/>
  <c r="CC62"/>
  <c r="CO64"/>
  <c r="CP63"/>
  <c r="N47" i="2"/>
  <c r="CO105" i="1"/>
  <c r="CP104"/>
  <c r="CD102"/>
  <c r="CC103"/>
  <c r="BC11" i="3"/>
  <c r="BB12"/>
  <c r="CI138"/>
  <c r="CJ136"/>
  <c r="BB52"/>
  <c r="BC51"/>
  <c r="BB91"/>
  <c r="BC90"/>
  <c r="CI20"/>
  <c r="CJ19"/>
  <c r="CO65" i="1" l="1"/>
  <c r="CP64"/>
  <c r="CD62"/>
  <c r="CC63"/>
  <c r="CD103"/>
  <c r="CC104"/>
  <c r="CP105"/>
  <c r="CO106"/>
  <c r="BC12" i="3"/>
  <c r="BB13"/>
  <c r="CI139"/>
  <c r="CJ138"/>
  <c r="BC52"/>
  <c r="BB53"/>
  <c r="BB92"/>
  <c r="BC91"/>
  <c r="CJ20"/>
  <c r="CI21"/>
  <c r="CP65" i="1" l="1"/>
  <c r="CO66"/>
  <c r="CD63"/>
  <c r="CC64"/>
  <c r="CP106"/>
  <c r="CO107"/>
  <c r="CP107" s="1"/>
  <c r="CC105"/>
  <c r="CD104"/>
  <c r="BB14" i="3"/>
  <c r="BC14" s="1"/>
  <c r="BC13"/>
  <c r="CI140"/>
  <c r="CJ139"/>
  <c r="BC53"/>
  <c r="BB54"/>
  <c r="BC54" s="1"/>
  <c r="BC92"/>
  <c r="BB93"/>
  <c r="CI22"/>
  <c r="CJ22" s="1"/>
  <c r="CJ21"/>
  <c r="CD64" i="1" l="1"/>
  <c r="CC65"/>
  <c r="CP66"/>
  <c r="CO67"/>
  <c r="CP67" s="1"/>
  <c r="CP108"/>
  <c r="CP109" s="1"/>
  <c r="CO110" s="1"/>
  <c r="CO111" s="1"/>
  <c r="CP111" s="1"/>
  <c r="CC106"/>
  <c r="CD105"/>
  <c r="BC15" i="3"/>
  <c r="BC16" s="1"/>
  <c r="BB17" s="1"/>
  <c r="BB18" s="1"/>
  <c r="BB19" s="1"/>
  <c r="CI141"/>
  <c r="CJ140"/>
  <c r="BC55"/>
  <c r="BC56" s="1"/>
  <c r="BB57" s="1"/>
  <c r="BB58" s="1"/>
  <c r="BB94"/>
  <c r="BC94" s="1"/>
  <c r="BC93"/>
  <c r="CJ23"/>
  <c r="CJ24" s="1"/>
  <c r="CI25" s="1"/>
  <c r="CI26" s="1"/>
  <c r="CP68" i="1" l="1"/>
  <c r="CP69" s="1"/>
  <c r="CO70" s="1"/>
  <c r="CO71" s="1"/>
  <c r="CO72" s="1"/>
  <c r="CC66"/>
  <c r="CD65"/>
  <c r="CO112"/>
  <c r="CP112" s="1"/>
  <c r="CD106"/>
  <c r="CC107"/>
  <c r="CD107" s="1"/>
  <c r="BC18" i="3"/>
  <c r="BB20"/>
  <c r="BC19"/>
  <c r="CI142"/>
  <c r="CJ141"/>
  <c r="BC58"/>
  <c r="BB59"/>
  <c r="BC95"/>
  <c r="BC96" s="1"/>
  <c r="BB97" s="1"/>
  <c r="BB98" s="1"/>
  <c r="CJ26"/>
  <c r="CI27"/>
  <c r="CP71" i="1" l="1"/>
  <c r="CD66"/>
  <c r="CC67"/>
  <c r="CD67" s="1"/>
  <c r="CP72"/>
  <c r="CO73"/>
  <c r="CD108"/>
  <c r="CD109" s="1"/>
  <c r="CC110" s="1"/>
  <c r="CO113"/>
  <c r="CP113" s="1"/>
  <c r="CC111"/>
  <c r="BB21" i="3"/>
  <c r="BC20"/>
  <c r="CI143"/>
  <c r="CJ143" s="1"/>
  <c r="CJ142"/>
  <c r="BB60"/>
  <c r="BC59"/>
  <c r="BB99"/>
  <c r="BC98"/>
  <c r="CI28"/>
  <c r="CJ27"/>
  <c r="CD68" i="1" l="1"/>
  <c r="CD69" s="1"/>
  <c r="CC70" s="1"/>
  <c r="CC71" s="1"/>
  <c r="CD71" s="1"/>
  <c r="CP73"/>
  <c r="CO74"/>
  <c r="CO114"/>
  <c r="CP114" s="1"/>
  <c r="CC112"/>
  <c r="CD111"/>
  <c r="BB22" i="3"/>
  <c r="BC21"/>
  <c r="CJ144"/>
  <c r="CJ145" s="1"/>
  <c r="CI146" s="1"/>
  <c r="BC60"/>
  <c r="BB61"/>
  <c r="BB100"/>
  <c r="BC99"/>
  <c r="CI29"/>
  <c r="CJ28"/>
  <c r="CC72" i="1" l="1"/>
  <c r="CC73" s="1"/>
  <c r="CO115"/>
  <c r="CO116" s="1"/>
  <c r="CP74"/>
  <c r="CO75"/>
  <c r="CD72"/>
  <c r="CD112"/>
  <c r="CC113"/>
  <c r="BC22" i="3"/>
  <c r="BB23"/>
  <c r="CI147"/>
  <c r="BB62"/>
  <c r="BC61"/>
  <c r="BC100"/>
  <c r="BB101"/>
  <c r="CI30"/>
  <c r="CJ29"/>
  <c r="CP115" i="1" l="1"/>
  <c r="CC74"/>
  <c r="CD73"/>
  <c r="CO76"/>
  <c r="CP75"/>
  <c r="CC114"/>
  <c r="CD113"/>
  <c r="CP116"/>
  <c r="CO117"/>
  <c r="BC23" i="3"/>
  <c r="BB24"/>
  <c r="CI148"/>
  <c r="CJ147"/>
  <c r="BB63"/>
  <c r="BC62"/>
  <c r="BC101"/>
  <c r="BB102"/>
  <c r="CJ30"/>
  <c r="CI31"/>
  <c r="CP76" i="1" l="1"/>
  <c r="CO77"/>
  <c r="CC75"/>
  <c r="CD74"/>
  <c r="CC115"/>
  <c r="CD114"/>
  <c r="CP117"/>
  <c r="CO118"/>
  <c r="BC24" i="3"/>
  <c r="BB25"/>
  <c r="CI149"/>
  <c r="CJ148"/>
  <c r="BC63"/>
  <c r="BB64"/>
  <c r="BB103"/>
  <c r="BC102"/>
  <c r="CJ31"/>
  <c r="CI32"/>
  <c r="CD75" i="1" l="1"/>
  <c r="CC76"/>
  <c r="CO78"/>
  <c r="CP77"/>
  <c r="CC116"/>
  <c r="CD115"/>
  <c r="CO119"/>
  <c r="CP119" s="1"/>
  <c r="CP118"/>
  <c r="BC25" i="3"/>
  <c r="BB26"/>
  <c r="BC26" s="1"/>
  <c r="CI150"/>
  <c r="CJ149"/>
  <c r="BB65"/>
  <c r="BC64"/>
  <c r="BB104"/>
  <c r="BC103"/>
  <c r="CJ32"/>
  <c r="CI33"/>
  <c r="CP78" i="1" l="1"/>
  <c r="CO79"/>
  <c r="CP79" s="1"/>
  <c r="CD76"/>
  <c r="CC77"/>
  <c r="CC117"/>
  <c r="CD116"/>
  <c r="CP120"/>
  <c r="BC27" i="3"/>
  <c r="CI151"/>
  <c r="CJ150"/>
  <c r="BB66"/>
  <c r="BC66" s="1"/>
  <c r="BC65"/>
  <c r="BB105"/>
  <c r="BC104"/>
  <c r="CJ33"/>
  <c r="CI34"/>
  <c r="CJ34" s="1"/>
  <c r="CP80" i="1" l="1"/>
  <c r="CP82" s="1"/>
  <c r="CQ82" s="1"/>
  <c r="CS58" s="1"/>
  <c r="CS59" s="1"/>
  <c r="CD77"/>
  <c r="CC78"/>
  <c r="CP122"/>
  <c r="CQ122" s="1"/>
  <c r="CS98" s="1"/>
  <c r="CS99" s="1"/>
  <c r="CP121"/>
  <c r="CT130" s="1"/>
  <c r="CT134" s="1"/>
  <c r="CJ107" s="1"/>
  <c r="CJ111" s="1"/>
  <c r="CL115" s="1"/>
  <c r="CL117" s="1"/>
  <c r="CJ115" s="1"/>
  <c r="CJ119" s="1"/>
  <c r="AX56" s="1"/>
  <c r="CD117"/>
  <c r="CC118"/>
  <c r="BC28" i="3"/>
  <c r="BG37" s="1"/>
  <c r="BC29"/>
  <c r="BD29" s="1"/>
  <c r="BF5" s="1"/>
  <c r="BF6" s="1"/>
  <c r="CI152"/>
  <c r="CJ151"/>
  <c r="BC67"/>
  <c r="BB106"/>
  <c r="BC106" s="1"/>
  <c r="BC105"/>
  <c r="CJ35"/>
  <c r="CJ36" s="1"/>
  <c r="CN45" s="1"/>
  <c r="CP81" i="1" l="1"/>
  <c r="CT90" s="1"/>
  <c r="CT94" s="1"/>
  <c r="CJ67" s="1"/>
  <c r="CJ71" s="1"/>
  <c r="CL75" s="1"/>
  <c r="CL77" s="1"/>
  <c r="CJ75" s="1"/>
  <c r="CC79"/>
  <c r="CD79" s="1"/>
  <c r="CD78"/>
  <c r="CT59"/>
  <c r="CS60"/>
  <c r="R20" i="2"/>
  <c r="CT99" i="1"/>
  <c r="CS100"/>
  <c r="CD118"/>
  <c r="CC119"/>
  <c r="CD119" s="1"/>
  <c r="AW14" i="3"/>
  <c r="AW18" s="1"/>
  <c r="AY22" s="1"/>
  <c r="AY24" s="1"/>
  <c r="AW22" s="1"/>
  <c r="AS74" s="1"/>
  <c r="I23" s="1"/>
  <c r="I71" s="1"/>
  <c r="BG41"/>
  <c r="BG6"/>
  <c r="BF7"/>
  <c r="CI153"/>
  <c r="CJ152"/>
  <c r="BC68"/>
  <c r="BG77" s="1"/>
  <c r="BC69"/>
  <c r="BD69" s="1"/>
  <c r="BF45" s="1"/>
  <c r="BF46" s="1"/>
  <c r="BC107"/>
  <c r="BC108" s="1"/>
  <c r="BG117" s="1"/>
  <c r="CJ37"/>
  <c r="CK37" s="1"/>
  <c r="CM12" s="1"/>
  <c r="CM13" s="1"/>
  <c r="CN13" s="1"/>
  <c r="CD22"/>
  <c r="CD26" s="1"/>
  <c r="CN49"/>
  <c r="CD80" i="1" l="1"/>
  <c r="CD81" s="1"/>
  <c r="CH90" s="1"/>
  <c r="CT60"/>
  <c r="CS61"/>
  <c r="CD120"/>
  <c r="CD122" s="1"/>
  <c r="CE122" s="1"/>
  <c r="CG98" s="1"/>
  <c r="CG99" s="1"/>
  <c r="R50" i="2"/>
  <c r="CS101" i="1"/>
  <c r="CT100"/>
  <c r="BF8" i="3"/>
  <c r="BG7"/>
  <c r="CI154"/>
  <c r="CJ153"/>
  <c r="BG81"/>
  <c r="AW54"/>
  <c r="AW58" s="1"/>
  <c r="AY62" s="1"/>
  <c r="AY64" s="1"/>
  <c r="AW62" s="1"/>
  <c r="BG46"/>
  <c r="BF47"/>
  <c r="BC109"/>
  <c r="BD109" s="1"/>
  <c r="BF85" s="1"/>
  <c r="BF86" s="1"/>
  <c r="BG121"/>
  <c r="AW94"/>
  <c r="AW98" s="1"/>
  <c r="AY102" s="1"/>
  <c r="AY104" s="1"/>
  <c r="AW102" s="1"/>
  <c r="CM14"/>
  <c r="CM15" s="1"/>
  <c r="CA79"/>
  <c r="CA86" s="1"/>
  <c r="I47" s="1"/>
  <c r="CF30"/>
  <c r="CF32" s="1"/>
  <c r="CD30" s="1"/>
  <c r="CD121" i="1" l="1"/>
  <c r="CH130" s="1"/>
  <c r="CD82"/>
  <c r="CE82" s="1"/>
  <c r="CG58" s="1"/>
  <c r="CG59" s="1"/>
  <c r="CH59" s="1"/>
  <c r="CH94"/>
  <c r="BX67"/>
  <c r="CS62"/>
  <c r="CT61"/>
  <c r="CG100"/>
  <c r="CH99"/>
  <c r="CS102"/>
  <c r="CT101"/>
  <c r="CH134"/>
  <c r="BX107" s="1"/>
  <c r="BX111" s="1"/>
  <c r="BZ115" s="1"/>
  <c r="BZ117" s="1"/>
  <c r="BX115" s="1"/>
  <c r="BX119" s="1"/>
  <c r="AX51" s="1"/>
  <c r="BG8" i="3"/>
  <c r="BF9"/>
  <c r="CI155"/>
  <c r="CJ155" s="1"/>
  <c r="CJ154"/>
  <c r="BG47"/>
  <c r="BF48"/>
  <c r="BF87"/>
  <c r="BG86"/>
  <c r="CN14"/>
  <c r="I96"/>
  <c r="U17" i="2"/>
  <c r="CN15" i="3"/>
  <c r="CM17"/>
  <c r="CG60" i="1" l="1"/>
  <c r="CG61" s="1"/>
  <c r="BX71"/>
  <c r="BZ75" s="1"/>
  <c r="BZ77" s="1"/>
  <c r="BX75" s="1"/>
  <c r="CH60"/>
  <c r="CT62"/>
  <c r="CS63"/>
  <c r="CT102"/>
  <c r="CS103"/>
  <c r="CG101"/>
  <c r="CH100"/>
  <c r="BG9" i="3"/>
  <c r="BF10"/>
  <c r="CJ156"/>
  <c r="BF49"/>
  <c r="BG48"/>
  <c r="V47" i="2"/>
  <c r="BF88" i="3"/>
  <c r="BG87"/>
  <c r="CM18"/>
  <c r="CN17"/>
  <c r="CT63" i="1" l="1"/>
  <c r="CS64"/>
  <c r="CG62"/>
  <c r="CH61"/>
  <c r="CT103"/>
  <c r="CS104"/>
  <c r="CG102"/>
  <c r="CH101"/>
  <c r="BF11" i="3"/>
  <c r="BG10"/>
  <c r="CJ157"/>
  <c r="CN166" s="1"/>
  <c r="CJ158"/>
  <c r="CK158" s="1"/>
  <c r="CM133" s="1"/>
  <c r="BG49"/>
  <c r="BF50"/>
  <c r="BF89"/>
  <c r="BG88"/>
  <c r="CM19"/>
  <c r="CN18"/>
  <c r="CH62" i="1" l="1"/>
  <c r="CG63"/>
  <c r="CS65"/>
  <c r="CT64"/>
  <c r="CT104"/>
  <c r="CS105"/>
  <c r="CH102"/>
  <c r="CG103"/>
  <c r="BG11" i="3"/>
  <c r="BF12"/>
  <c r="CM134"/>
  <c r="CN170"/>
  <c r="CD143"/>
  <c r="CD147" s="1"/>
  <c r="BG50"/>
  <c r="BF51"/>
  <c r="BF90"/>
  <c r="BG89"/>
  <c r="CN19"/>
  <c r="CM20"/>
  <c r="CT65" i="1" l="1"/>
  <c r="CS66"/>
  <c r="CG64"/>
  <c r="CH63"/>
  <c r="CG104"/>
  <c r="CH103"/>
  <c r="CT105"/>
  <c r="CS106"/>
  <c r="BG12" i="3"/>
  <c r="BF13"/>
  <c r="CF151"/>
  <c r="CF153" s="1"/>
  <c r="CD151" s="1"/>
  <c r="CA166"/>
  <c r="CM135"/>
  <c r="CN134"/>
  <c r="BF52"/>
  <c r="BG51"/>
  <c r="BF91"/>
  <c r="BG90"/>
  <c r="CM21"/>
  <c r="CN20"/>
  <c r="CG65" i="1" l="1"/>
  <c r="CH64"/>
  <c r="CS67"/>
  <c r="CT67" s="1"/>
  <c r="CT66"/>
  <c r="CH104"/>
  <c r="CG105"/>
  <c r="CS107"/>
  <c r="CT107" s="1"/>
  <c r="CT106"/>
  <c r="BG13" i="3"/>
  <c r="BF14"/>
  <c r="BG14" s="1"/>
  <c r="CM136"/>
  <c r="CN135"/>
  <c r="BG52"/>
  <c r="BF53"/>
  <c r="BF92"/>
  <c r="BG91"/>
  <c r="CM22"/>
  <c r="CN22" s="1"/>
  <c r="CN21"/>
  <c r="CT68" i="1" l="1"/>
  <c r="CT69" s="1"/>
  <c r="CS70" s="1"/>
  <c r="CS71" s="1"/>
  <c r="CT71" s="1"/>
  <c r="CH65"/>
  <c r="CG66"/>
  <c r="CT108"/>
  <c r="CT109" s="1"/>
  <c r="CS110" s="1"/>
  <c r="CS111" s="1"/>
  <c r="CH105"/>
  <c r="CG106"/>
  <c r="BG15" i="3"/>
  <c r="BG16" s="1"/>
  <c r="BF17" s="1"/>
  <c r="BF18" s="1"/>
  <c r="BF19" s="1"/>
  <c r="CN136"/>
  <c r="CM138"/>
  <c r="BG53"/>
  <c r="BF54"/>
  <c r="BG54" s="1"/>
  <c r="BG92"/>
  <c r="BF93"/>
  <c r="CN23"/>
  <c r="CN24" s="1"/>
  <c r="CM25" s="1"/>
  <c r="CM26" s="1"/>
  <c r="CN26" s="1"/>
  <c r="CS72" i="1" l="1"/>
  <c r="CS73" s="1"/>
  <c r="CH66"/>
  <c r="CG67"/>
  <c r="CH67" s="1"/>
  <c r="CG107"/>
  <c r="CH107" s="1"/>
  <c r="CH106"/>
  <c r="CT111"/>
  <c r="CS112"/>
  <c r="BG18" i="3"/>
  <c r="BG19"/>
  <c r="BF20"/>
  <c r="CM139"/>
  <c r="CN138"/>
  <c r="BG55"/>
  <c r="BG56" s="1"/>
  <c r="BF57" s="1"/>
  <c r="BF58" s="1"/>
  <c r="BF94"/>
  <c r="BG94" s="1"/>
  <c r="BG93"/>
  <c r="CM27"/>
  <c r="CN27" s="1"/>
  <c r="CT72" i="1" l="1"/>
  <c r="CH68"/>
  <c r="CH69" s="1"/>
  <c r="CG70" s="1"/>
  <c r="CG71" s="1"/>
  <c r="CH71" s="1"/>
  <c r="CS74"/>
  <c r="CT73"/>
  <c r="CH108"/>
  <c r="CH109" s="1"/>
  <c r="CG110" s="1"/>
  <c r="CG111" s="1"/>
  <c r="CT112"/>
  <c r="CS113"/>
  <c r="BF21" i="3"/>
  <c r="BG20"/>
  <c r="CN139"/>
  <c r="CM140"/>
  <c r="BF59"/>
  <c r="BG58"/>
  <c r="BG95"/>
  <c r="BG96" s="1"/>
  <c r="BF97" s="1"/>
  <c r="BF98" s="1"/>
  <c r="BG98" s="1"/>
  <c r="CM28"/>
  <c r="CM29" s="1"/>
  <c r="CG72" i="1" l="1"/>
  <c r="CH72" s="1"/>
  <c r="CS75"/>
  <c r="CT74"/>
  <c r="CS114"/>
  <c r="CT113"/>
  <c r="CH111"/>
  <c r="CG112"/>
  <c r="BF22" i="3"/>
  <c r="BG21"/>
  <c r="CM141"/>
  <c r="CN140"/>
  <c r="BF60"/>
  <c r="BG59"/>
  <c r="BF99"/>
  <c r="BF100" s="1"/>
  <c r="CN28"/>
  <c r="CN29"/>
  <c r="CM30"/>
  <c r="CG73" i="1" l="1"/>
  <c r="CG74" s="1"/>
  <c r="CS76"/>
  <c r="CT75"/>
  <c r="CT114"/>
  <c r="CS115"/>
  <c r="CG113"/>
  <c r="CH112"/>
  <c r="BG22" i="3"/>
  <c r="BF23"/>
  <c r="CM142"/>
  <c r="CN141"/>
  <c r="BF61"/>
  <c r="BG60"/>
  <c r="BG99"/>
  <c r="BG100"/>
  <c r="BF101"/>
  <c r="CM31"/>
  <c r="CN30"/>
  <c r="P57" i="2"/>
  <c r="P27"/>
  <c r="CH73" i="1" l="1"/>
  <c r="CG75"/>
  <c r="CH74"/>
  <c r="CT76"/>
  <c r="CS77"/>
  <c r="CG114"/>
  <c r="CH113"/>
  <c r="CS116"/>
  <c r="CT115"/>
  <c r="BF24" i="3"/>
  <c r="BG23"/>
  <c r="CM143"/>
  <c r="CN143" s="1"/>
  <c r="CN142"/>
  <c r="BF62"/>
  <c r="BG61"/>
  <c r="BF102"/>
  <c r="BG101"/>
  <c r="CM32"/>
  <c r="CN31"/>
  <c r="G26" i="2"/>
  <c r="G56"/>
  <c r="CT77" i="1" l="1"/>
  <c r="CS78"/>
  <c r="CG76"/>
  <c r="CH75"/>
  <c r="CT116"/>
  <c r="CS117"/>
  <c r="CG115"/>
  <c r="CH114"/>
  <c r="BG24" i="3"/>
  <c r="BF25"/>
  <c r="CN144"/>
  <c r="CN145" s="1"/>
  <c r="CM146" s="1"/>
  <c r="BG62"/>
  <c r="BF63"/>
  <c r="BG102"/>
  <c r="BF103"/>
  <c r="CM33"/>
  <c r="CN32"/>
  <c r="G57" i="2"/>
  <c r="G27"/>
  <c r="CH76" i="1" l="1"/>
  <c r="CG77"/>
  <c r="CT78"/>
  <c r="CS79"/>
  <c r="CT79" s="1"/>
  <c r="CH115"/>
  <c r="CG116"/>
  <c r="CT117"/>
  <c r="CS118"/>
  <c r="BG25" i="3"/>
  <c r="BF26"/>
  <c r="BG26" s="1"/>
  <c r="CM147"/>
  <c r="BG63"/>
  <c r="BF64"/>
  <c r="BG103"/>
  <c r="BF104"/>
  <c r="CN33"/>
  <c r="CM34"/>
  <c r="CN34" s="1"/>
  <c r="P56" i="2"/>
  <c r="P26"/>
  <c r="CT80" i="1" l="1"/>
  <c r="CT82" s="1"/>
  <c r="CT83" s="1"/>
  <c r="CT85" s="1"/>
  <c r="CG78"/>
  <c r="CH77"/>
  <c r="CS119"/>
  <c r="CT119" s="1"/>
  <c r="CT118"/>
  <c r="CG117"/>
  <c r="CH116"/>
  <c r="BG27" i="3"/>
  <c r="BG29" s="1"/>
  <c r="CM148"/>
  <c r="CN147"/>
  <c r="BF65"/>
  <c r="BG64"/>
  <c r="BG104"/>
  <c r="BF105"/>
  <c r="CN35"/>
  <c r="CN37" s="1"/>
  <c r="CN39" s="1"/>
  <c r="CT84" i="1" l="1"/>
  <c r="CT88" s="1"/>
  <c r="CT89" s="1"/>
  <c r="CT92" s="1"/>
  <c r="CG79"/>
  <c r="CH79" s="1"/>
  <c r="CH78"/>
  <c r="CH117"/>
  <c r="CG118"/>
  <c r="CT120"/>
  <c r="CT122" s="1"/>
  <c r="BG31" i="3"/>
  <c r="BG30"/>
  <c r="BG32" s="1"/>
  <c r="CM149"/>
  <c r="CN148"/>
  <c r="BG65"/>
  <c r="BF66"/>
  <c r="BG66" s="1"/>
  <c r="BF106"/>
  <c r="BG106" s="1"/>
  <c r="BG105"/>
  <c r="CN38"/>
  <c r="CN40" s="1"/>
  <c r="CN43"/>
  <c r="CN44" s="1"/>
  <c r="CN47" s="1"/>
  <c r="CT86" i="1" l="1"/>
  <c r="CT91" s="1"/>
  <c r="CT95" s="1"/>
  <c r="CJ68" s="1"/>
  <c r="CJ72" s="1"/>
  <c r="CH80"/>
  <c r="CH82" s="1"/>
  <c r="CH84" s="1"/>
  <c r="CT96"/>
  <c r="CJ69" s="1"/>
  <c r="CJ73" s="1"/>
  <c r="CJ77"/>
  <c r="CJ76"/>
  <c r="CT124"/>
  <c r="CT123"/>
  <c r="CT125" s="1"/>
  <c r="CG119"/>
  <c r="CH119" s="1"/>
  <c r="CH118"/>
  <c r="CN41" i="3"/>
  <c r="CN46" s="1"/>
  <c r="CD23" s="1"/>
  <c r="CD27" s="1"/>
  <c r="CA80" s="1"/>
  <c r="CA87" s="1"/>
  <c r="I48" s="1"/>
  <c r="BG35"/>
  <c r="BG36" s="1"/>
  <c r="BG39" s="1"/>
  <c r="BG33"/>
  <c r="BG38" s="1"/>
  <c r="CM150"/>
  <c r="CN149"/>
  <c r="BG67"/>
  <c r="BG69" s="1"/>
  <c r="BG70" s="1"/>
  <c r="BG72" s="1"/>
  <c r="BG107"/>
  <c r="BG109" s="1"/>
  <c r="BG111" s="1"/>
  <c r="CD32"/>
  <c r="CN51"/>
  <c r="CD24"/>
  <c r="CD28" s="1"/>
  <c r="CA81" s="1"/>
  <c r="CA88" s="1"/>
  <c r="I49" s="1"/>
  <c r="I98" s="1"/>
  <c r="CH83" i="1" l="1"/>
  <c r="CH85" s="1"/>
  <c r="CH88"/>
  <c r="CH89" s="1"/>
  <c r="CH92" s="1"/>
  <c r="CH120"/>
  <c r="CH122" s="1"/>
  <c r="CH124" s="1"/>
  <c r="CT128"/>
  <c r="CT129" s="1"/>
  <c r="CT132" s="1"/>
  <c r="CT126"/>
  <c r="CT131" s="1"/>
  <c r="CD31" i="3"/>
  <c r="CN50"/>
  <c r="BG43"/>
  <c r="AW16"/>
  <c r="AW20" s="1"/>
  <c r="AW24"/>
  <c r="AS76" s="1"/>
  <c r="I25" s="1"/>
  <c r="I73" s="1"/>
  <c r="AW15"/>
  <c r="AW19" s="1"/>
  <c r="BG42"/>
  <c r="AW23"/>
  <c r="AS75" s="1"/>
  <c r="I24" s="1"/>
  <c r="I72" s="1"/>
  <c r="CM151"/>
  <c r="CN150"/>
  <c r="BG71"/>
  <c r="BG75" s="1"/>
  <c r="BG76" s="1"/>
  <c r="BG79" s="1"/>
  <c r="BG110"/>
  <c r="BG112" s="1"/>
  <c r="BG115"/>
  <c r="BG116" s="1"/>
  <c r="BG119" s="1"/>
  <c r="I97"/>
  <c r="V17" i="2"/>
  <c r="CH86" i="1" l="1"/>
  <c r="CH91" s="1"/>
  <c r="BX77"/>
  <c r="CH96"/>
  <c r="BX69" s="1"/>
  <c r="BX73" s="1"/>
  <c r="CH123"/>
  <c r="CH125" s="1"/>
  <c r="CJ117"/>
  <c r="CJ121" s="1"/>
  <c r="AZ56" s="1"/>
  <c r="CT136"/>
  <c r="CJ109" s="1"/>
  <c r="CJ113" s="1"/>
  <c r="CH128"/>
  <c r="CH129" s="1"/>
  <c r="CH132" s="1"/>
  <c r="CJ116"/>
  <c r="CJ120" s="1"/>
  <c r="AY56" s="1"/>
  <c r="CT135"/>
  <c r="CJ108" s="1"/>
  <c r="CJ112" s="1"/>
  <c r="CM152" i="3"/>
  <c r="CN151"/>
  <c r="BG73"/>
  <c r="BG78" s="1"/>
  <c r="BG82" s="1"/>
  <c r="BG83"/>
  <c r="AW56"/>
  <c r="AW60" s="1"/>
  <c r="AW64"/>
  <c r="AY67" s="1"/>
  <c r="BG113"/>
  <c r="BG118" s="1"/>
  <c r="AW103" s="1"/>
  <c r="W47" i="2"/>
  <c r="BG123" i="3"/>
  <c r="AW96"/>
  <c r="AW100" s="1"/>
  <c r="AW104"/>
  <c r="AY107" s="1"/>
  <c r="CH126" i="1" l="1"/>
  <c r="CH131" s="1"/>
  <c r="BX76"/>
  <c r="CH95"/>
  <c r="BX68" s="1"/>
  <c r="BX72" s="1"/>
  <c r="S20" i="2"/>
  <c r="T20"/>
  <c r="AW63" i="3"/>
  <c r="CH136" i="1"/>
  <c r="BX117"/>
  <c r="BX121" s="1"/>
  <c r="AZ51" s="1"/>
  <c r="BX109"/>
  <c r="BX113" s="1"/>
  <c r="CH135"/>
  <c r="BX116"/>
  <c r="BX120" s="1"/>
  <c r="AY51" s="1"/>
  <c r="BX108"/>
  <c r="BX112" s="1"/>
  <c r="CM153" i="3"/>
  <c r="CN152"/>
  <c r="BG122"/>
  <c r="AW95"/>
  <c r="AW99" s="1"/>
  <c r="AW55"/>
  <c r="AW59" s="1"/>
  <c r="AY68"/>
  <c r="AY108"/>
  <c r="BZ79" i="1" l="1"/>
  <c r="CL79" s="1"/>
  <c r="CJ79" s="1"/>
  <c r="AQ56" s="1"/>
  <c r="T50" i="2"/>
  <c r="S50"/>
  <c r="CM154" i="3"/>
  <c r="CN153"/>
  <c r="AY69"/>
  <c r="AY71" s="1"/>
  <c r="AY72" s="1"/>
  <c r="AS81" s="1"/>
  <c r="I29" s="1"/>
  <c r="I77" s="1"/>
  <c r="AY70"/>
  <c r="AS82" s="1"/>
  <c r="G29" s="1"/>
  <c r="G77" s="1"/>
  <c r="AY110"/>
  <c r="AS95" s="1"/>
  <c r="I34" s="1"/>
  <c r="I82" s="1"/>
  <c r="AY109"/>
  <c r="AY111" s="1"/>
  <c r="AY112" s="1"/>
  <c r="AS94" s="1"/>
  <c r="G34" s="1"/>
  <c r="G82" s="1"/>
  <c r="K50" i="2" l="1"/>
  <c r="K20"/>
  <c r="R15"/>
  <c r="R45"/>
  <c r="BX79" i="1"/>
  <c r="AQ51" s="1"/>
  <c r="BZ80"/>
  <c r="CL80" s="1"/>
  <c r="CJ80" s="1"/>
  <c r="CM155" i="3"/>
  <c r="CN155" s="1"/>
  <c r="CN154"/>
  <c r="S15" i="2" l="1"/>
  <c r="AR56" i="1"/>
  <c r="S45" i="2"/>
  <c r="K45"/>
  <c r="K15"/>
  <c r="BX80" i="1"/>
  <c r="AR51" s="1"/>
  <c r="BZ81"/>
  <c r="CN156" i="3"/>
  <c r="CN158" s="1"/>
  <c r="CN160" s="1"/>
  <c r="L50" i="2" l="1"/>
  <c r="L20"/>
  <c r="L15"/>
  <c r="L45"/>
  <c r="BX81" i="1"/>
  <c r="AS51" s="1"/>
  <c r="CL81"/>
  <c r="CJ81" s="1"/>
  <c r="AS56" s="1"/>
  <c r="CN159" i="3"/>
  <c r="CN161" s="1"/>
  <c r="CN164"/>
  <c r="CN165" s="1"/>
  <c r="CN168" s="1"/>
  <c r="M50" i="2" l="1"/>
  <c r="M20"/>
  <c r="T15"/>
  <c r="T45"/>
  <c r="M15"/>
  <c r="M45"/>
  <c r="CN162" i="3"/>
  <c r="CN167" s="1"/>
  <c r="CD152" s="1"/>
  <c r="CD153"/>
  <c r="CN172"/>
  <c r="CD145"/>
  <c r="CD149" s="1"/>
  <c r="CA168" s="1"/>
  <c r="CA175" s="1"/>
  <c r="I56" s="1"/>
  <c r="CN171" l="1"/>
  <c r="CD144"/>
  <c r="CD148" s="1"/>
  <c r="CA167" s="1"/>
  <c r="CA174" s="1"/>
  <c r="CA173"/>
  <c r="I55" l="1"/>
  <c r="M24" i="2" s="1"/>
  <c r="M54" s="1"/>
  <c r="I54" i="3"/>
  <c r="L24" i="2" s="1"/>
  <c r="L54" s="1"/>
</calcChain>
</file>

<file path=xl/comments1.xml><?xml version="1.0" encoding="utf-8"?>
<comments xmlns="http://schemas.openxmlformats.org/spreadsheetml/2006/main">
  <authors>
    <author>Giannis</author>
    <author>Syrios2</author>
  </authors>
  <commentList>
    <comment ref="P12" authorId="0">
      <text>
        <r>
          <rPr>
            <sz val="9"/>
            <color indexed="10"/>
            <rFont val="Tahoma"/>
            <family val="2"/>
            <charset val="161"/>
          </rPr>
          <t xml:space="preserve">Στο φύλλο </t>
        </r>
        <r>
          <rPr>
            <b/>
            <sz val="9"/>
            <color indexed="10"/>
            <rFont val="Tahoma"/>
            <family val="2"/>
            <charset val="161"/>
          </rPr>
          <t>1</t>
        </r>
        <r>
          <rPr>
            <sz val="9"/>
            <color indexed="10"/>
            <rFont val="Tahoma"/>
            <family val="2"/>
            <charset val="161"/>
          </rPr>
          <t xml:space="preserve"> είναι ο κατάλογος που κάνουμε τις καταχωρίσεις.
Στο φύλλο </t>
        </r>
        <r>
          <rPr>
            <b/>
            <sz val="9"/>
            <color indexed="10"/>
            <rFont val="Tahoma"/>
            <family val="2"/>
            <charset val="161"/>
          </rPr>
          <t>2</t>
        </r>
        <r>
          <rPr>
            <sz val="9"/>
            <color indexed="10"/>
            <rFont val="Tahoma"/>
            <family val="2"/>
            <charset val="161"/>
          </rPr>
          <t xml:space="preserve"> είναι οι οθόνες που λειτουργούμε το πρόγραμμα.
Στο φύλλο </t>
        </r>
        <r>
          <rPr>
            <b/>
            <sz val="9"/>
            <color indexed="10"/>
            <rFont val="Tahoma"/>
            <family val="2"/>
            <charset val="161"/>
          </rPr>
          <t>3</t>
        </r>
        <r>
          <rPr>
            <sz val="9"/>
            <color indexed="10"/>
            <rFont val="Tahoma"/>
            <family val="2"/>
            <charset val="161"/>
          </rPr>
          <t xml:space="preserve"> είναι το πρόγραμμα πολικής ευθυγράμμισης. </t>
        </r>
        <r>
          <rPr>
            <b/>
            <sz val="9"/>
            <color indexed="10"/>
            <rFont val="Tahoma"/>
            <family val="2"/>
            <charset val="161"/>
          </rPr>
          <t xml:space="preserve">
</t>
        </r>
        <r>
          <rPr>
            <sz val="9"/>
            <color indexed="34"/>
            <rFont val="Tahoma"/>
            <family val="2"/>
            <charset val="161"/>
          </rPr>
          <t xml:space="preserve">
</t>
        </r>
      </text>
    </comment>
    <comment ref="I15" authorId="0">
      <text>
        <r>
          <rPr>
            <b/>
            <sz val="11"/>
            <color indexed="10"/>
            <rFont val="Tahoma"/>
            <family val="2"/>
            <charset val="161"/>
          </rPr>
          <t xml:space="preserve">
</t>
        </r>
        <r>
          <rPr>
            <b/>
            <sz val="11"/>
            <color indexed="10"/>
            <rFont val="Times New Roman"/>
            <family val="1"/>
            <charset val="161"/>
          </rPr>
          <t>α</t>
        </r>
        <r>
          <rPr>
            <sz val="11"/>
            <color indexed="10"/>
            <rFont val="Times New Roman"/>
            <family val="1"/>
            <charset val="161"/>
          </rPr>
          <t xml:space="preserve">    a  alfa  alpha 
</t>
        </r>
        <r>
          <rPr>
            <b/>
            <sz val="11"/>
            <color indexed="10"/>
            <rFont val="Times New Roman"/>
            <family val="1"/>
            <charset val="161"/>
          </rPr>
          <t>β</t>
        </r>
        <r>
          <rPr>
            <sz val="11"/>
            <color indexed="10"/>
            <rFont val="Times New Roman"/>
            <family val="1"/>
            <charset val="161"/>
          </rPr>
          <t xml:space="preserve">   b  beta bet
</t>
        </r>
        <r>
          <rPr>
            <b/>
            <sz val="11"/>
            <color indexed="10"/>
            <rFont val="Times New Roman"/>
            <family val="1"/>
            <charset val="161"/>
          </rPr>
          <t>γ</t>
        </r>
        <r>
          <rPr>
            <sz val="11"/>
            <color indexed="10"/>
            <rFont val="Times New Roman"/>
            <family val="1"/>
            <charset val="161"/>
          </rPr>
          <t xml:space="preserve">   g  gama gam
</t>
        </r>
        <r>
          <rPr>
            <b/>
            <sz val="11"/>
            <color indexed="10"/>
            <rFont val="Times New Roman"/>
            <family val="1"/>
            <charset val="161"/>
          </rPr>
          <t>δ</t>
        </r>
        <r>
          <rPr>
            <sz val="11"/>
            <color indexed="10"/>
            <rFont val="Times New Roman"/>
            <family val="1"/>
            <charset val="161"/>
          </rPr>
          <t xml:space="preserve">   d  delta del
</t>
        </r>
        <r>
          <rPr>
            <b/>
            <sz val="11"/>
            <color indexed="10"/>
            <rFont val="Times New Roman"/>
            <family val="1"/>
            <charset val="161"/>
          </rPr>
          <t>ε</t>
        </r>
        <r>
          <rPr>
            <sz val="11"/>
            <color indexed="10"/>
            <rFont val="Times New Roman"/>
            <family val="1"/>
            <charset val="161"/>
          </rPr>
          <t xml:space="preserve">   e  epsilon eps
</t>
        </r>
        <r>
          <rPr>
            <b/>
            <sz val="11"/>
            <color indexed="10"/>
            <rFont val="Times New Roman"/>
            <family val="1"/>
            <charset val="161"/>
          </rPr>
          <t>ζ</t>
        </r>
        <r>
          <rPr>
            <sz val="11"/>
            <color indexed="10"/>
            <rFont val="Times New Roman"/>
            <family val="1"/>
            <charset val="161"/>
          </rPr>
          <t xml:space="preserve">   z  zet zeta
</t>
        </r>
        <r>
          <rPr>
            <b/>
            <sz val="11"/>
            <color indexed="10"/>
            <rFont val="Times New Roman"/>
            <family val="1"/>
            <charset val="161"/>
          </rPr>
          <t>η</t>
        </r>
        <r>
          <rPr>
            <sz val="11"/>
            <color indexed="10"/>
            <rFont val="Times New Roman"/>
            <family val="1"/>
            <charset val="161"/>
          </rPr>
          <t xml:space="preserve">   eta 
</t>
        </r>
        <r>
          <rPr>
            <b/>
            <sz val="11"/>
            <color indexed="10"/>
            <rFont val="Times New Roman"/>
            <family val="1"/>
            <charset val="161"/>
          </rPr>
          <t>θ</t>
        </r>
        <r>
          <rPr>
            <sz val="11"/>
            <color indexed="10"/>
            <rFont val="Times New Roman"/>
            <family val="1"/>
            <charset val="161"/>
          </rPr>
          <t xml:space="preserve">  tet the </t>
        </r>
        <r>
          <rPr>
            <b/>
            <sz val="9"/>
            <color indexed="10"/>
            <rFont val="Tahoma"/>
            <family val="2"/>
            <charset val="161"/>
          </rPr>
          <t xml:space="preserve">
</t>
        </r>
        <r>
          <rPr>
            <sz val="9"/>
            <color indexed="34"/>
            <rFont val="Tahoma"/>
            <family val="2"/>
            <charset val="161"/>
          </rPr>
          <t xml:space="preserve">
</t>
        </r>
      </text>
    </comment>
    <comment ref="I16" authorId="0">
      <text>
        <r>
          <rPr>
            <b/>
            <sz val="9"/>
            <color indexed="81"/>
            <rFont val="Tahoma"/>
            <family val="2"/>
            <charset val="161"/>
          </rPr>
          <t xml:space="preserve"> </t>
        </r>
        <r>
          <rPr>
            <sz val="9"/>
            <color indexed="34"/>
            <rFont val="Tahoma"/>
            <family val="2"/>
            <charset val="161"/>
          </rPr>
          <t xml:space="preserve">
</t>
        </r>
        <r>
          <rPr>
            <b/>
            <sz val="11"/>
            <color indexed="10"/>
            <rFont val="Times New Roman"/>
            <family val="1"/>
            <charset val="161"/>
          </rPr>
          <t xml:space="preserve">ι  </t>
        </r>
        <r>
          <rPr>
            <sz val="11"/>
            <color indexed="10"/>
            <rFont val="Times New Roman"/>
            <family val="1"/>
            <charset val="161"/>
          </rPr>
          <t xml:space="preserve"> i  iota  iot
</t>
        </r>
        <r>
          <rPr>
            <b/>
            <sz val="11"/>
            <color indexed="10"/>
            <rFont val="Times New Roman"/>
            <family val="1"/>
            <charset val="161"/>
          </rPr>
          <t>κ</t>
        </r>
        <r>
          <rPr>
            <sz val="11"/>
            <color indexed="10"/>
            <rFont val="Times New Roman"/>
            <family val="1"/>
            <charset val="161"/>
          </rPr>
          <t xml:space="preserve">  k  kapa   kap
</t>
        </r>
        <r>
          <rPr>
            <b/>
            <sz val="11"/>
            <color indexed="10"/>
            <rFont val="Times New Roman"/>
            <family val="1"/>
            <charset val="161"/>
          </rPr>
          <t>λ</t>
        </r>
        <r>
          <rPr>
            <sz val="11"/>
            <color indexed="10"/>
            <rFont val="Times New Roman"/>
            <family val="1"/>
            <charset val="161"/>
          </rPr>
          <t xml:space="preserve">  l   lamda lam
</t>
        </r>
        <r>
          <rPr>
            <b/>
            <sz val="11"/>
            <color indexed="10"/>
            <rFont val="Times New Roman"/>
            <family val="1"/>
            <charset val="161"/>
          </rPr>
          <t>μ</t>
        </r>
        <r>
          <rPr>
            <sz val="11"/>
            <color indexed="10"/>
            <rFont val="Times New Roman"/>
            <family val="1"/>
            <charset val="161"/>
          </rPr>
          <t xml:space="preserve">  m  me  mu
</t>
        </r>
        <r>
          <rPr>
            <b/>
            <sz val="11"/>
            <color indexed="10"/>
            <rFont val="Times New Roman"/>
            <family val="1"/>
            <charset val="161"/>
          </rPr>
          <t xml:space="preserve">ν </t>
        </r>
        <r>
          <rPr>
            <sz val="11"/>
            <color indexed="10"/>
            <rFont val="Times New Roman"/>
            <family val="1"/>
            <charset val="161"/>
          </rPr>
          <t xml:space="preserve"> n    ne  nu
</t>
        </r>
        <r>
          <rPr>
            <b/>
            <sz val="11"/>
            <color indexed="10"/>
            <rFont val="Times New Roman"/>
            <family val="1"/>
            <charset val="161"/>
          </rPr>
          <t>ξ</t>
        </r>
        <r>
          <rPr>
            <sz val="11"/>
            <color indexed="10"/>
            <rFont val="Times New Roman"/>
            <family val="1"/>
            <charset val="161"/>
          </rPr>
          <t xml:space="preserve">   ksi
</t>
        </r>
        <r>
          <rPr>
            <b/>
            <sz val="11"/>
            <color indexed="10"/>
            <rFont val="Times New Roman"/>
            <family val="1"/>
            <charset val="161"/>
          </rPr>
          <t>ο</t>
        </r>
        <r>
          <rPr>
            <sz val="11"/>
            <color indexed="10"/>
            <rFont val="Times New Roman"/>
            <family val="1"/>
            <charset val="161"/>
          </rPr>
          <t xml:space="preserve">   o   omi
</t>
        </r>
        <r>
          <rPr>
            <b/>
            <sz val="11"/>
            <color indexed="10"/>
            <rFont val="Times New Roman"/>
            <family val="1"/>
            <charset val="161"/>
          </rPr>
          <t>π</t>
        </r>
        <r>
          <rPr>
            <sz val="11"/>
            <color indexed="10"/>
            <rFont val="Times New Roman"/>
            <family val="1"/>
            <charset val="161"/>
          </rPr>
          <t xml:space="preserve">  p  pi</t>
        </r>
        <r>
          <rPr>
            <sz val="9"/>
            <color indexed="10"/>
            <rFont val="Tahoma"/>
            <family val="2"/>
            <charset val="161"/>
          </rPr>
          <t xml:space="preserve">
</t>
        </r>
      </text>
    </comment>
    <comment ref="I17" authorId="0">
      <text>
        <r>
          <rPr>
            <b/>
            <sz val="9"/>
            <color indexed="81"/>
            <rFont val="Tahoma"/>
            <family val="2"/>
            <charset val="161"/>
          </rPr>
          <t xml:space="preserve"> </t>
        </r>
        <r>
          <rPr>
            <sz val="9"/>
            <color indexed="34"/>
            <rFont val="Tahoma"/>
            <family val="2"/>
            <charset val="161"/>
          </rPr>
          <t xml:space="preserve">
</t>
        </r>
        <r>
          <rPr>
            <b/>
            <sz val="11"/>
            <color indexed="10"/>
            <rFont val="Times New Roman"/>
            <family val="1"/>
            <charset val="161"/>
          </rPr>
          <t>ρ</t>
        </r>
        <r>
          <rPr>
            <sz val="11"/>
            <color indexed="10"/>
            <rFont val="Times New Roman"/>
            <family val="1"/>
            <charset val="161"/>
          </rPr>
          <t xml:space="preserve">   r ro
</t>
        </r>
        <r>
          <rPr>
            <b/>
            <sz val="11"/>
            <color indexed="10"/>
            <rFont val="Times New Roman"/>
            <family val="1"/>
            <charset val="161"/>
          </rPr>
          <t>σ</t>
        </r>
        <r>
          <rPr>
            <sz val="11"/>
            <color indexed="10"/>
            <rFont val="Times New Roman"/>
            <family val="1"/>
            <charset val="161"/>
          </rPr>
          <t xml:space="preserve">    s  sigma  sig
</t>
        </r>
        <r>
          <rPr>
            <b/>
            <sz val="11"/>
            <color indexed="10"/>
            <rFont val="Times New Roman"/>
            <family val="1"/>
            <charset val="161"/>
          </rPr>
          <t>τ</t>
        </r>
        <r>
          <rPr>
            <sz val="11"/>
            <color indexed="10"/>
            <rFont val="Times New Roman"/>
            <family val="1"/>
            <charset val="161"/>
          </rPr>
          <t xml:space="preserve">    t   tau
</t>
        </r>
        <r>
          <rPr>
            <b/>
            <sz val="11"/>
            <color indexed="10"/>
            <rFont val="Times New Roman"/>
            <family val="1"/>
            <charset val="161"/>
          </rPr>
          <t>υ</t>
        </r>
        <r>
          <rPr>
            <sz val="11"/>
            <color indexed="10"/>
            <rFont val="Times New Roman"/>
            <family val="1"/>
            <charset val="161"/>
          </rPr>
          <t xml:space="preserve">    y  ups
</t>
        </r>
        <r>
          <rPr>
            <b/>
            <sz val="11"/>
            <color indexed="10"/>
            <rFont val="Times New Roman"/>
            <family val="1"/>
            <charset val="161"/>
          </rPr>
          <t>φ</t>
        </r>
        <r>
          <rPr>
            <sz val="11"/>
            <color indexed="10"/>
            <rFont val="Times New Roman"/>
            <family val="1"/>
            <charset val="161"/>
          </rPr>
          <t xml:space="preserve">    f  fi  phi
</t>
        </r>
        <r>
          <rPr>
            <b/>
            <sz val="11"/>
            <color indexed="10"/>
            <rFont val="Times New Roman"/>
            <family val="1"/>
            <charset val="161"/>
          </rPr>
          <t>χ</t>
        </r>
        <r>
          <rPr>
            <sz val="11"/>
            <color indexed="10"/>
            <rFont val="Times New Roman"/>
            <family val="1"/>
            <charset val="161"/>
          </rPr>
          <t xml:space="preserve">     x  hi  he 
</t>
        </r>
        <r>
          <rPr>
            <b/>
            <sz val="11"/>
            <color indexed="10"/>
            <rFont val="Times New Roman"/>
            <family val="1"/>
            <charset val="161"/>
          </rPr>
          <t>ψ</t>
        </r>
        <r>
          <rPr>
            <sz val="11"/>
            <color indexed="10"/>
            <rFont val="Times New Roman"/>
            <family val="1"/>
            <charset val="161"/>
          </rPr>
          <t xml:space="preserve">  psi  
</t>
        </r>
        <r>
          <rPr>
            <b/>
            <sz val="11"/>
            <color indexed="10"/>
            <rFont val="Times New Roman"/>
            <family val="1"/>
            <charset val="161"/>
          </rPr>
          <t>ω</t>
        </r>
        <r>
          <rPr>
            <sz val="11"/>
            <color indexed="10"/>
            <rFont val="Times New Roman"/>
            <family val="1"/>
            <charset val="161"/>
          </rPr>
          <t xml:space="preserve">  omega  ome</t>
        </r>
        <r>
          <rPr>
            <sz val="9"/>
            <color indexed="10"/>
            <rFont val="Tahoma"/>
            <family val="2"/>
            <charset val="161"/>
          </rPr>
          <t xml:space="preserve">
</t>
        </r>
        <r>
          <rPr>
            <sz val="9"/>
            <color indexed="34"/>
            <rFont val="Tahoma"/>
            <family val="2"/>
            <charset val="161"/>
          </rPr>
          <t xml:space="preserve">
</t>
        </r>
      </text>
    </comment>
    <comment ref="I18" authorId="0">
      <text>
        <r>
          <rPr>
            <b/>
            <sz val="9"/>
            <color indexed="81"/>
            <rFont val="Tahoma"/>
            <family val="2"/>
            <charset val="161"/>
          </rPr>
          <t xml:space="preserve"> </t>
        </r>
        <r>
          <rPr>
            <sz val="9"/>
            <color indexed="34"/>
            <rFont val="Tahoma"/>
            <family val="2"/>
            <charset val="161"/>
          </rPr>
          <t xml:space="preserve">
</t>
        </r>
        <r>
          <rPr>
            <b/>
            <sz val="11"/>
            <color indexed="10"/>
            <rFont val="Times New Roman"/>
            <family val="1"/>
            <charset val="161"/>
          </rPr>
          <t xml:space="preserve"> </t>
        </r>
        <r>
          <rPr>
            <sz val="11"/>
            <color indexed="10"/>
            <rFont val="Times New Roman"/>
            <family val="1"/>
            <charset val="161"/>
          </rPr>
          <t xml:space="preserve">  
Με τον κωδικό ααα 0  ααα 1 ααα 2  έως και το ααα 9  μπορούμε να καταχωρίσουμε τις συντεταγμένες της Σελήνης  των πλανητών σε διάφορες ημερομηνίες που επιλέγουμε. Επίσης μπορούμε να καταχωρίσουμε ότι άλλο θέλουμε.  Ποιο συγκεκριμένα  ααα κενό, είναι ο κωδικός και μετά το κενό, ο αριθμός. Αυτός  είναι ο αύξον αριθμός της καταχώρισης. Για λόγους ευκολίας βρίσκεται στην κορυφή του καταλόγου. </t>
        </r>
        <r>
          <rPr>
            <sz val="9"/>
            <color indexed="10"/>
            <rFont val="Tahoma"/>
            <family val="2"/>
            <charset val="161"/>
          </rPr>
          <t xml:space="preserve">
</t>
        </r>
        <r>
          <rPr>
            <sz val="9"/>
            <color indexed="34"/>
            <rFont val="Tahoma"/>
            <family val="2"/>
            <charset val="161"/>
          </rPr>
          <t xml:space="preserve">
</t>
        </r>
      </text>
    </comment>
    <comment ref="O26" authorId="0">
      <text>
        <r>
          <rPr>
            <b/>
            <sz val="9"/>
            <color indexed="81"/>
            <rFont val="Tahoma"/>
            <family val="2"/>
            <charset val="161"/>
          </rPr>
          <t xml:space="preserve"> </t>
        </r>
        <r>
          <rPr>
            <sz val="9"/>
            <color indexed="34"/>
            <rFont val="Tahoma"/>
            <family val="2"/>
            <charset val="161"/>
          </rPr>
          <t xml:space="preserve">
</t>
        </r>
        <r>
          <rPr>
            <sz val="9"/>
            <color indexed="10"/>
            <rFont val="Tahoma"/>
            <family val="2"/>
            <charset val="161"/>
          </rPr>
          <t xml:space="preserve">Για να ανανεωθεί ο χρόνος πληκτρολογήστε κάτι Εδώ,
και μετά να πατήσετε </t>
        </r>
        <r>
          <rPr>
            <b/>
            <sz val="9"/>
            <color indexed="10"/>
            <rFont val="Tahoma"/>
            <family val="2"/>
            <charset val="161"/>
          </rPr>
          <t>Εenter.</t>
        </r>
        <r>
          <rPr>
            <sz val="9"/>
            <color indexed="10"/>
            <rFont val="Tahoma"/>
            <family val="2"/>
            <charset val="161"/>
          </rPr>
          <t xml:space="preserve"> 
Για καθαρά πρακτικούς λόγους χρήσεις του προγράμματος, αποφύγετε να πληκτρολογήσετε κάποιο γράμμα. Πληκτρολογήστε  το κώμα ή την τελεία.</t>
        </r>
        <r>
          <rPr>
            <sz val="9"/>
            <color indexed="34"/>
            <rFont val="Tahoma"/>
            <family val="2"/>
            <charset val="161"/>
          </rPr>
          <t xml:space="preserve">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I28" authorId="0">
      <text>
        <r>
          <rPr>
            <b/>
            <sz val="9"/>
            <color indexed="81"/>
            <rFont val="Tahoma"/>
            <family val="2"/>
            <charset val="161"/>
          </rPr>
          <t xml:space="preserve"> </t>
        </r>
        <r>
          <rPr>
            <sz val="9"/>
            <color indexed="34"/>
            <rFont val="Tahoma"/>
            <family val="2"/>
            <charset val="161"/>
          </rPr>
          <t xml:space="preserve">
</t>
        </r>
        <r>
          <rPr>
            <sz val="9"/>
            <color indexed="10"/>
            <rFont val="Tahoma"/>
            <family val="2"/>
            <charset val="161"/>
          </rPr>
          <t xml:space="preserve"> Για να γράψουμε το άστρο που αναζητάμε, γράφουμε το γράμμα του, πατάμε κενό, και στην συνέχεια το διεθνές σύμβολο του αστερισμού. Έστω ότι θέλουμε το α του Βόρειου Στέφανου. Εδώ παρατηρούμε ότι δεν ξέρουμε το σύμβολο του αστερισμού.  Πληκτρολογούμε λοιπόν στο παρακάτω πλαίσιο ολογράφως τον αστερισμό  στα Ελληνικά, Βόρειος Στέφανος, ή στα Λατινικά, Corona Borealis, και μεταξύ των πηλοφοριών που θα έχουμε θα είναι και αυτή: </t>
        </r>
        <r>
          <rPr>
            <b/>
            <sz val="9"/>
            <color indexed="10"/>
            <rFont val="Tahoma"/>
            <family val="2"/>
            <charset val="161"/>
          </rPr>
          <t>CrB</t>
        </r>
        <r>
          <rPr>
            <sz val="9"/>
            <color indexed="10"/>
            <rFont val="Tahoma"/>
            <family val="2"/>
            <charset val="161"/>
          </rPr>
          <t>. Επομένως στο κελί αναζήτησης γράφουμε: 
α crb  ή  a crb  ή   alfa crb ή  alpha crb</t>
        </r>
        <r>
          <rPr>
            <sz val="9"/>
            <color indexed="34"/>
            <rFont val="Tahoma"/>
            <family val="2"/>
            <charset val="161"/>
          </rPr>
          <t xml:space="preserve">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P42" authorId="0">
      <text>
        <r>
          <rPr>
            <sz val="9"/>
            <color indexed="10"/>
            <rFont val="Tahoma"/>
            <family val="2"/>
            <charset val="161"/>
          </rPr>
          <t xml:space="preserve">Στο φύλλο </t>
        </r>
        <r>
          <rPr>
            <b/>
            <sz val="9"/>
            <color indexed="10"/>
            <rFont val="Tahoma"/>
            <family val="2"/>
            <charset val="161"/>
          </rPr>
          <t>1</t>
        </r>
        <r>
          <rPr>
            <sz val="9"/>
            <color indexed="10"/>
            <rFont val="Tahoma"/>
            <family val="2"/>
            <charset val="161"/>
          </rPr>
          <t xml:space="preserve"> είναι ο κατάλογος που κάνουμε τις καταχωρίσεις.
Στο φύλλο </t>
        </r>
        <r>
          <rPr>
            <b/>
            <sz val="9"/>
            <color indexed="10"/>
            <rFont val="Tahoma"/>
            <family val="2"/>
            <charset val="161"/>
          </rPr>
          <t>2</t>
        </r>
        <r>
          <rPr>
            <sz val="9"/>
            <color indexed="10"/>
            <rFont val="Tahoma"/>
            <family val="2"/>
            <charset val="161"/>
          </rPr>
          <t xml:space="preserve"> είναι οι οθόνες που λειτουργούμε το πρόγραμμα.
Στο φύλλο </t>
        </r>
        <r>
          <rPr>
            <b/>
            <sz val="9"/>
            <color indexed="10"/>
            <rFont val="Tahoma"/>
            <family val="2"/>
            <charset val="161"/>
          </rPr>
          <t>3</t>
        </r>
        <r>
          <rPr>
            <sz val="9"/>
            <color indexed="10"/>
            <rFont val="Tahoma"/>
            <family val="2"/>
            <charset val="161"/>
          </rPr>
          <t xml:space="preserve"> είναι το πρόγραμμα πολικής ευθυγράμμισης. </t>
        </r>
        <r>
          <rPr>
            <b/>
            <sz val="9"/>
            <color indexed="10"/>
            <rFont val="Tahoma"/>
            <family val="2"/>
            <charset val="161"/>
          </rPr>
          <t xml:space="preserve">
</t>
        </r>
        <r>
          <rPr>
            <sz val="9"/>
            <color indexed="34"/>
            <rFont val="Tahoma"/>
            <family val="2"/>
            <charset val="161"/>
          </rPr>
          <t xml:space="preserve">
</t>
        </r>
      </text>
    </comment>
    <comment ref="I45" authorId="1">
      <text>
        <r>
          <rPr>
            <sz val="11"/>
            <color indexed="81"/>
            <rFont val="Times New Roman"/>
            <family val="1"/>
            <charset val="161"/>
          </rPr>
          <t xml:space="preserve">
</t>
        </r>
        <r>
          <rPr>
            <b/>
            <sz val="11"/>
            <color indexed="81"/>
            <rFont val="Times New Roman"/>
            <family val="1"/>
            <charset val="161"/>
          </rPr>
          <t xml:space="preserve">α  </t>
        </r>
        <r>
          <rPr>
            <sz val="11"/>
            <color indexed="81"/>
            <rFont val="Times New Roman"/>
            <family val="1"/>
            <charset val="161"/>
          </rPr>
          <t xml:space="preserve"> a alfa alpha
</t>
        </r>
        <r>
          <rPr>
            <b/>
            <sz val="11"/>
            <color indexed="81"/>
            <rFont val="Times New Roman"/>
            <family val="1"/>
            <charset val="161"/>
          </rPr>
          <t xml:space="preserve">β  </t>
        </r>
        <r>
          <rPr>
            <sz val="11"/>
            <color indexed="81"/>
            <rFont val="Times New Roman"/>
            <family val="1"/>
            <charset val="161"/>
          </rPr>
          <t xml:space="preserve"> b bet
</t>
        </r>
        <r>
          <rPr>
            <b/>
            <sz val="11"/>
            <color indexed="81"/>
            <rFont val="Times New Roman"/>
            <family val="1"/>
            <charset val="161"/>
          </rPr>
          <t xml:space="preserve">γ  </t>
        </r>
        <r>
          <rPr>
            <sz val="11"/>
            <color indexed="81"/>
            <rFont val="Times New Roman"/>
            <family val="1"/>
            <charset val="161"/>
          </rPr>
          <t xml:space="preserve"> g gam gama
</t>
        </r>
        <r>
          <rPr>
            <b/>
            <sz val="11"/>
            <color indexed="81"/>
            <rFont val="Times New Roman"/>
            <family val="1"/>
            <charset val="161"/>
          </rPr>
          <t xml:space="preserve">δ  </t>
        </r>
        <r>
          <rPr>
            <sz val="11"/>
            <color indexed="81"/>
            <rFont val="Times New Roman"/>
            <family val="1"/>
            <charset val="161"/>
          </rPr>
          <t xml:space="preserve"> d del delta
</t>
        </r>
        <r>
          <rPr>
            <b/>
            <sz val="11"/>
            <color indexed="81"/>
            <rFont val="Times New Roman"/>
            <family val="1"/>
            <charset val="161"/>
          </rPr>
          <t>ε</t>
        </r>
        <r>
          <rPr>
            <sz val="11"/>
            <color indexed="81"/>
            <rFont val="Times New Roman"/>
            <family val="1"/>
            <charset val="161"/>
          </rPr>
          <t xml:space="preserve">   e eps epsilon
</t>
        </r>
        <r>
          <rPr>
            <b/>
            <sz val="11"/>
            <color indexed="81"/>
            <rFont val="Times New Roman"/>
            <family val="1"/>
            <charset val="161"/>
          </rPr>
          <t>ζ</t>
        </r>
        <r>
          <rPr>
            <sz val="11"/>
            <color indexed="81"/>
            <rFont val="Times New Roman"/>
            <family val="1"/>
            <charset val="161"/>
          </rPr>
          <t xml:space="preserve">   z zet zeta
</t>
        </r>
        <r>
          <rPr>
            <b/>
            <sz val="11"/>
            <color indexed="81"/>
            <rFont val="Times New Roman"/>
            <family val="1"/>
            <charset val="161"/>
          </rPr>
          <t>η</t>
        </r>
        <r>
          <rPr>
            <sz val="11"/>
            <color indexed="81"/>
            <rFont val="Times New Roman"/>
            <family val="1"/>
            <charset val="161"/>
          </rPr>
          <t xml:space="preserve">  eta
</t>
        </r>
        <r>
          <rPr>
            <b/>
            <sz val="11"/>
            <color indexed="81"/>
            <rFont val="Times New Roman"/>
            <family val="1"/>
            <charset val="161"/>
          </rPr>
          <t>θ</t>
        </r>
        <r>
          <rPr>
            <sz val="11"/>
            <color indexed="81"/>
            <rFont val="Times New Roman"/>
            <family val="1"/>
            <charset val="161"/>
          </rPr>
          <t xml:space="preserve">  tet the
</t>
        </r>
      </text>
    </comment>
    <comment ref="I46" authorId="0">
      <text>
        <r>
          <rPr>
            <b/>
            <sz val="12"/>
            <color indexed="81"/>
            <rFont val="Times New Roman"/>
            <family val="1"/>
            <charset val="161"/>
          </rPr>
          <t xml:space="preserve">
ι   i </t>
        </r>
        <r>
          <rPr>
            <sz val="12"/>
            <color indexed="81"/>
            <rFont val="Times New Roman"/>
            <family val="1"/>
            <charset val="161"/>
          </rPr>
          <t xml:space="preserve">iota  iot
</t>
        </r>
        <r>
          <rPr>
            <b/>
            <sz val="12"/>
            <color indexed="81"/>
            <rFont val="Times New Roman"/>
            <family val="1"/>
            <charset val="161"/>
          </rPr>
          <t>κ</t>
        </r>
        <r>
          <rPr>
            <sz val="12"/>
            <color indexed="81"/>
            <rFont val="Times New Roman"/>
            <family val="1"/>
            <charset val="161"/>
          </rPr>
          <t xml:space="preserve">  k kapa   kap
</t>
        </r>
        <r>
          <rPr>
            <b/>
            <sz val="12"/>
            <color indexed="81"/>
            <rFont val="Times New Roman"/>
            <family val="1"/>
            <charset val="161"/>
          </rPr>
          <t>λ</t>
        </r>
        <r>
          <rPr>
            <sz val="12"/>
            <color indexed="81"/>
            <rFont val="Times New Roman"/>
            <family val="1"/>
            <charset val="161"/>
          </rPr>
          <t xml:space="preserve">  l lamda lam
</t>
        </r>
        <r>
          <rPr>
            <b/>
            <sz val="12"/>
            <color indexed="81"/>
            <rFont val="Times New Roman"/>
            <family val="1"/>
            <charset val="161"/>
          </rPr>
          <t>μ</t>
        </r>
        <r>
          <rPr>
            <sz val="12"/>
            <color indexed="81"/>
            <rFont val="Times New Roman"/>
            <family val="1"/>
            <charset val="161"/>
          </rPr>
          <t xml:space="preserve">  m me    mu
</t>
        </r>
        <r>
          <rPr>
            <b/>
            <sz val="12"/>
            <color indexed="81"/>
            <rFont val="Times New Roman"/>
            <family val="1"/>
            <charset val="161"/>
          </rPr>
          <t xml:space="preserve">ν  </t>
        </r>
        <r>
          <rPr>
            <sz val="12"/>
            <color indexed="81"/>
            <rFont val="Times New Roman"/>
            <family val="1"/>
            <charset val="161"/>
          </rPr>
          <t xml:space="preserve">n   ne  nu
</t>
        </r>
        <r>
          <rPr>
            <b/>
            <sz val="12"/>
            <color indexed="81"/>
            <rFont val="Times New Roman"/>
            <family val="1"/>
            <charset val="161"/>
          </rPr>
          <t>ξ</t>
        </r>
        <r>
          <rPr>
            <sz val="12"/>
            <color indexed="81"/>
            <rFont val="Times New Roman"/>
            <family val="1"/>
            <charset val="161"/>
          </rPr>
          <t xml:space="preserve">  ksi  
</t>
        </r>
        <r>
          <rPr>
            <b/>
            <sz val="12"/>
            <color indexed="81"/>
            <rFont val="Times New Roman"/>
            <family val="1"/>
            <charset val="161"/>
          </rPr>
          <t>ο</t>
        </r>
        <r>
          <rPr>
            <sz val="12"/>
            <color indexed="81"/>
            <rFont val="Times New Roman"/>
            <family val="1"/>
            <charset val="161"/>
          </rPr>
          <t xml:space="preserve">  o omicron omi  
</t>
        </r>
        <r>
          <rPr>
            <b/>
            <sz val="12"/>
            <color indexed="81"/>
            <rFont val="Times New Roman"/>
            <family val="1"/>
            <charset val="161"/>
          </rPr>
          <t>π</t>
        </r>
        <r>
          <rPr>
            <sz val="12"/>
            <color indexed="81"/>
            <rFont val="Times New Roman"/>
            <family val="1"/>
            <charset val="161"/>
          </rPr>
          <t xml:space="preserve">  </t>
        </r>
        <r>
          <rPr>
            <sz val="11"/>
            <color indexed="81"/>
            <rFont val="Times New Roman"/>
            <family val="1"/>
            <charset val="161"/>
          </rPr>
          <t xml:space="preserve">p  pi
</t>
        </r>
        <r>
          <rPr>
            <sz val="9"/>
            <color indexed="81"/>
            <rFont val="Tahoma"/>
            <family val="2"/>
            <charset val="161"/>
          </rPr>
          <t xml:space="preserve"> 
</t>
        </r>
      </text>
    </comment>
    <comment ref="I47" authorId="0">
      <text>
        <r>
          <rPr>
            <b/>
            <sz val="11"/>
            <color indexed="81"/>
            <rFont val="Times New Roman"/>
            <family val="1"/>
            <charset val="161"/>
          </rPr>
          <t>ρ</t>
        </r>
        <r>
          <rPr>
            <sz val="11"/>
            <color indexed="81"/>
            <rFont val="Times New Roman"/>
            <family val="1"/>
            <charset val="161"/>
          </rPr>
          <t xml:space="preserve">   r  ro
</t>
        </r>
        <r>
          <rPr>
            <b/>
            <sz val="11"/>
            <color indexed="81"/>
            <rFont val="Times New Roman"/>
            <family val="1"/>
            <charset val="161"/>
          </rPr>
          <t>σ</t>
        </r>
        <r>
          <rPr>
            <sz val="11"/>
            <color indexed="81"/>
            <rFont val="Times New Roman"/>
            <family val="1"/>
            <charset val="161"/>
          </rPr>
          <t xml:space="preserve">  s  sigma  sig
</t>
        </r>
        <r>
          <rPr>
            <b/>
            <sz val="11"/>
            <color indexed="81"/>
            <rFont val="Times New Roman"/>
            <family val="1"/>
            <charset val="161"/>
          </rPr>
          <t>τ</t>
        </r>
        <r>
          <rPr>
            <sz val="11"/>
            <color indexed="81"/>
            <rFont val="Times New Roman"/>
            <family val="1"/>
            <charset val="161"/>
          </rPr>
          <t xml:space="preserve">   t  tau
</t>
        </r>
        <r>
          <rPr>
            <b/>
            <sz val="11"/>
            <color indexed="81"/>
            <rFont val="Times New Roman"/>
            <family val="1"/>
            <charset val="161"/>
          </rPr>
          <t>υ</t>
        </r>
        <r>
          <rPr>
            <sz val="11"/>
            <color indexed="81"/>
            <rFont val="Times New Roman"/>
            <family val="1"/>
            <charset val="161"/>
          </rPr>
          <t xml:space="preserve">   y  ups
</t>
        </r>
        <r>
          <rPr>
            <b/>
            <sz val="11"/>
            <color indexed="81"/>
            <rFont val="Times New Roman"/>
            <family val="1"/>
            <charset val="161"/>
          </rPr>
          <t>φ</t>
        </r>
        <r>
          <rPr>
            <sz val="11"/>
            <color indexed="81"/>
            <rFont val="Times New Roman"/>
            <family val="1"/>
            <charset val="161"/>
          </rPr>
          <t xml:space="preserve">   f  fi  phi
</t>
        </r>
        <r>
          <rPr>
            <b/>
            <sz val="11"/>
            <color indexed="81"/>
            <rFont val="Times New Roman"/>
            <family val="1"/>
            <charset val="161"/>
          </rPr>
          <t>χ</t>
        </r>
        <r>
          <rPr>
            <sz val="11"/>
            <color indexed="81"/>
            <rFont val="Times New Roman"/>
            <family val="1"/>
            <charset val="161"/>
          </rPr>
          <t xml:space="preserve">     x  hi  he chi
</t>
        </r>
        <r>
          <rPr>
            <b/>
            <sz val="11"/>
            <color indexed="81"/>
            <rFont val="Times New Roman"/>
            <family val="1"/>
            <charset val="161"/>
          </rPr>
          <t>ψ</t>
        </r>
        <r>
          <rPr>
            <sz val="11"/>
            <color indexed="81"/>
            <rFont val="Times New Roman"/>
            <family val="1"/>
            <charset val="161"/>
          </rPr>
          <t xml:space="preserve">  psi  
</t>
        </r>
        <r>
          <rPr>
            <b/>
            <sz val="11"/>
            <color indexed="81"/>
            <rFont val="Times New Roman"/>
            <family val="1"/>
            <charset val="161"/>
          </rPr>
          <t>ω</t>
        </r>
        <r>
          <rPr>
            <sz val="11"/>
            <color indexed="81"/>
            <rFont val="Times New Roman"/>
            <family val="1"/>
            <charset val="161"/>
          </rPr>
          <t xml:space="preserve">  omega  ome</t>
        </r>
        <r>
          <rPr>
            <sz val="9"/>
            <color indexed="81"/>
            <rFont val="Tahoma"/>
            <family val="2"/>
            <charset val="161"/>
          </rPr>
          <t xml:space="preserve">
</t>
        </r>
      </text>
    </comment>
    <comment ref="I48" authorId="0">
      <text>
        <r>
          <rPr>
            <sz val="9"/>
            <color indexed="81"/>
            <rFont val="Tahoma"/>
            <family val="2"/>
            <charset val="161"/>
          </rPr>
          <t xml:space="preserve">
Με τον κωδικό </t>
        </r>
        <r>
          <rPr>
            <b/>
            <sz val="9"/>
            <color indexed="81"/>
            <rFont val="Tahoma"/>
            <family val="2"/>
            <charset val="161"/>
          </rPr>
          <t>ααα 0  ααα 1 ααα 2</t>
        </r>
        <r>
          <rPr>
            <sz val="9"/>
            <color indexed="81"/>
            <rFont val="Tahoma"/>
            <family val="2"/>
            <charset val="161"/>
          </rPr>
          <t xml:space="preserve">  έως και το </t>
        </r>
        <r>
          <rPr>
            <b/>
            <sz val="9"/>
            <color indexed="81"/>
            <rFont val="Tahoma"/>
            <family val="2"/>
            <charset val="161"/>
          </rPr>
          <t>ααα 9</t>
        </r>
        <r>
          <rPr>
            <sz val="9"/>
            <color indexed="81"/>
            <rFont val="Tahoma"/>
            <family val="2"/>
            <charset val="161"/>
          </rPr>
          <t xml:space="preserve">  μπορούμε να καταχωρίσουμε τις συντεταγμένες της Σελήνης  των πλανητών σε διάφορες ημερομηνίες που επιλέγουμε. Επίσης μπορούμε να καταχωρίσουμε ότι άλλο θέλουμε.  Ποιο συγκεκριμένα  ααα κενό, είναι ο κωδικός και μετά το κενό, ο αριθμός. Αυτός  είναι ο αύξον αριθμός της καταχώρισης. Για λόγους ευκολίας βρίσκεται στην κορυφή του καταλόγου. 
</t>
        </r>
      </text>
    </comment>
    <comment ref="O56" authorId="0">
      <text>
        <r>
          <rPr>
            <b/>
            <sz val="9"/>
            <color indexed="81"/>
            <rFont val="Tahoma"/>
            <family val="2"/>
            <charset val="161"/>
          </rPr>
          <t xml:space="preserve"> </t>
        </r>
        <r>
          <rPr>
            <sz val="9"/>
            <color indexed="34"/>
            <rFont val="Tahoma"/>
            <family val="2"/>
            <charset val="161"/>
          </rPr>
          <t xml:space="preserve">
</t>
        </r>
        <r>
          <rPr>
            <sz val="9"/>
            <color indexed="10"/>
            <rFont val="Tahoma"/>
            <family val="2"/>
            <charset val="161"/>
          </rPr>
          <t xml:space="preserve">Για να ανανεωθεί ο χρόνος πληκτρολογήστε κάτι Εδώ,
και μετά να πατήσετε </t>
        </r>
        <r>
          <rPr>
            <b/>
            <sz val="9"/>
            <color indexed="10"/>
            <rFont val="Tahoma"/>
            <family val="2"/>
            <charset val="161"/>
          </rPr>
          <t>Εenter.</t>
        </r>
        <r>
          <rPr>
            <sz val="9"/>
            <color indexed="10"/>
            <rFont val="Tahoma"/>
            <family val="2"/>
            <charset val="161"/>
          </rPr>
          <t xml:space="preserve"> 
Για καθαρά πρακτικούς λόγους χρήσεις του προγράμματος, αποφύγετε να πληκτρολογήσετε κάποιο γράμμα. Πληκτρολογήστε  το κώμα ή την τελεία.</t>
        </r>
        <r>
          <rPr>
            <sz val="9"/>
            <color indexed="34"/>
            <rFont val="Tahoma"/>
            <family val="2"/>
            <charset val="161"/>
          </rPr>
          <t xml:space="preserve">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List>
</comments>
</file>

<file path=xl/comments2.xml><?xml version="1.0" encoding="utf-8"?>
<comments xmlns="http://schemas.openxmlformats.org/spreadsheetml/2006/main">
  <authors>
    <author>Syrios2</author>
    <author>Giannis</author>
  </authors>
  <commentList>
    <comment ref="CA20" authorId="0">
      <text>
        <r>
          <rPr>
            <b/>
            <sz val="9"/>
            <color indexed="81"/>
            <rFont val="Tahoma"/>
            <family val="2"/>
            <charset val="161"/>
          </rPr>
          <t>Syrios2:</t>
        </r>
        <r>
          <rPr>
            <sz val="9"/>
            <color indexed="81"/>
            <rFont val="Tahoma"/>
            <family val="2"/>
            <charset val="161"/>
          </rPr>
          <t xml:space="preserve">
Είσοδος από το έτος 
2000
</t>
        </r>
      </text>
    </comment>
    <comment ref="K23" authorId="1">
      <text>
        <r>
          <rPr>
            <b/>
            <sz val="9"/>
            <color indexed="81"/>
            <rFont val="Tahoma"/>
            <family val="2"/>
            <charset val="161"/>
          </rPr>
          <t xml:space="preserve"> </t>
        </r>
        <r>
          <rPr>
            <sz val="9"/>
            <color indexed="34"/>
            <rFont val="Tahoma"/>
            <family val="2"/>
            <charset val="161"/>
          </rPr>
          <t xml:space="preserve">
Για να ανανεωθεί ο χρόνος πληκτρολογήστε κάτι Εδώ,
και μετά να πατήσετε Εenter.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BZ25" authorId="0">
      <text>
        <r>
          <rPr>
            <sz val="9"/>
            <color indexed="81"/>
            <rFont val="Tahoma"/>
            <family val="2"/>
            <charset val="161"/>
          </rPr>
          <t xml:space="preserve">
Τα άστρα τρέχουν πιο γρήγορα κατά 4
περίπου λεπτά την ημέρα από τον ήλιο. Στο ροζ
υπολογίζεται ο χρόνος που χρειάζεται ο Ήλιος να
διανύσει την απόσταση από τις 30 μοίρες προς δυσμάς. Το παρακάτω προσαρμόζει τον ηλιακό
χρόνο και τον κάνει αστρικό.
(Γαλάζιο κελί)
</t>
        </r>
      </text>
    </comment>
    <comment ref="L26" authorId="1">
      <text>
        <r>
          <rPr>
            <b/>
            <sz val="9"/>
            <color indexed="81"/>
            <rFont val="Tahoma"/>
            <family val="2"/>
            <charset val="161"/>
          </rPr>
          <t xml:space="preserve"> </t>
        </r>
        <r>
          <rPr>
            <sz val="9"/>
            <color indexed="34"/>
            <rFont val="Tahoma"/>
            <family val="2"/>
            <charset val="161"/>
          </rPr>
          <t xml:space="preserve">
Giannis:
Σε αυτό το πεδίο γράφουμε ή διαγράφουμε τα Γεωγραφικά Μήκη που μας ενδιαφέρουν.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G30" authorId="1">
      <text>
        <r>
          <rPr>
            <b/>
            <sz val="9"/>
            <color indexed="81"/>
            <rFont val="Tahoma"/>
            <family val="2"/>
            <charset val="161"/>
          </rPr>
          <t xml:space="preserve"> </t>
        </r>
        <r>
          <rPr>
            <sz val="9"/>
            <color indexed="34"/>
            <rFont val="Tahoma"/>
            <family val="2"/>
            <charset val="161"/>
          </rPr>
          <t xml:space="preserve">
Giannis:
1)Αφού φορτώσουμε την στήριξη με όλο το φορτίο την σταθμίζουμε (αλφαδιάζουμε).
2)Γυρίζουμε τον άξονα της ορθής αναφοράς ώστε το σημάδι που έχουμε πάρει, να τοποθετεί το κυκλάκι του πολικού στο σημείο της άνω μεσουράνησης του.
3) Γυρνώντας τον δίσκο θέσης της Ορθής Αναφοράς βάζουμε την παραπάνω ένδειξη.
4)Γυρίζουμε τον άξονα της Ορθής Αναφοράς μέχρι ο δίσκος θέσης να γράψει 0.
5) Τοποθετούμε τον πολικό αστέρα μέσα στο κυκλάκι.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AR51" authorId="0">
      <text>
        <r>
          <rPr>
            <sz val="9"/>
            <color indexed="81"/>
            <rFont val="Tahoma"/>
            <family val="2"/>
            <charset val="161"/>
          </rPr>
          <t xml:space="preserve">
Τα άστρα τρέχουν πιο γρήγορα κατά 4
περίπου λεπτά την ημέρα από τον ήλιο. Στο ροζ
υπολογίζεται ο χρόνος που χρειάζεται ο Ήλιος να
διανύσει την απόσταση από τις 30 μοίρες προς δυσμάς. Το παρακάτω προσαρμόζει τον ηλιακό
χρόνο και τον κάνει αστρικό.
(Γαλάζιο κελί)
</t>
        </r>
      </text>
    </comment>
    <comment ref="K71" authorId="1">
      <text>
        <r>
          <rPr>
            <b/>
            <sz val="9"/>
            <color indexed="81"/>
            <rFont val="Tahoma"/>
            <family val="2"/>
            <charset val="161"/>
          </rPr>
          <t xml:space="preserve"> </t>
        </r>
        <r>
          <rPr>
            <sz val="9"/>
            <color indexed="34"/>
            <rFont val="Tahoma"/>
            <family val="2"/>
            <charset val="161"/>
          </rPr>
          <t xml:space="preserve">
Για να ανανεωθεί ο χρόνος πληκτρολογήστε κάτι Εδώ,
και μετά να πατήσετε Εenter.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L74" authorId="1">
      <text>
        <r>
          <rPr>
            <b/>
            <sz val="9"/>
            <color indexed="81"/>
            <rFont val="Tahoma"/>
            <family val="2"/>
            <charset val="161"/>
          </rPr>
          <t xml:space="preserve"> </t>
        </r>
        <r>
          <rPr>
            <sz val="9"/>
            <color indexed="34"/>
            <rFont val="Tahoma"/>
            <family val="2"/>
            <charset val="161"/>
          </rPr>
          <t xml:space="preserve">
Giannis:
Σε αυτό το πεδίο γράφουμε ή διαγράφουμε τα Γεωγραφικά Μήκη που μας ενδιαφέρουν.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G78" authorId="1">
      <text>
        <r>
          <rPr>
            <b/>
            <sz val="9"/>
            <color indexed="81"/>
            <rFont val="Tahoma"/>
            <family val="2"/>
            <charset val="161"/>
          </rPr>
          <t xml:space="preserve"> </t>
        </r>
        <r>
          <rPr>
            <sz val="9"/>
            <color indexed="34"/>
            <rFont val="Tahoma"/>
            <family val="2"/>
            <charset val="161"/>
          </rPr>
          <t xml:space="preserve">
Giannis:
1)Αφού φορτώσουμε την στήριξη με όλο το φορτίο την σταθμίζουμε (αλφαδιάζουμε).
2)Γυρίζουμε τον άξονα της ορθής αναφοράς ώστε το σημάδι που έχουμε πάρει, να τοποθετεί το κυκλάκι του πολικού στο σημείο της άνω μεσουράνησης του.
3) Γυρνώντας τον δίσκο θέσης της Ορθής Αναφοράς βάζουμε την παραπάνω ένδειξη.
4)Γυρίζουμε τον άξονα της Ορθής Αναφοράς μέχρι ο δίσκος θέσης να γράψει 0.
5) Τοποθετούμε τον πολικό αστέρα μέσα στο κυκλάκι.
</t>
        </r>
        <r>
          <rPr>
            <b/>
            <sz val="11"/>
            <color indexed="10"/>
            <rFont val="Times New Roman"/>
            <family val="1"/>
            <charset val="161"/>
          </rPr>
          <t xml:space="preserve"> </t>
        </r>
        <r>
          <rPr>
            <sz val="11"/>
            <color indexed="10"/>
            <rFont val="Times New Roman"/>
            <family val="1"/>
            <charset val="161"/>
          </rPr>
          <t xml:space="preserve">  
 </t>
        </r>
        <r>
          <rPr>
            <sz val="9"/>
            <color indexed="10"/>
            <rFont val="Tahoma"/>
            <family val="2"/>
            <charset val="161"/>
          </rPr>
          <t xml:space="preserve">
</t>
        </r>
        <r>
          <rPr>
            <sz val="9"/>
            <color indexed="34"/>
            <rFont val="Tahoma"/>
            <family val="2"/>
            <charset val="161"/>
          </rPr>
          <t xml:space="preserve">
</t>
        </r>
      </text>
    </comment>
    <comment ref="CA84" authorId="0">
      <text>
        <r>
          <rPr>
            <b/>
            <sz val="9"/>
            <color indexed="81"/>
            <rFont val="Tahoma"/>
            <family val="2"/>
            <charset val="161"/>
          </rPr>
          <t>Syrios2:</t>
        </r>
        <r>
          <rPr>
            <sz val="9"/>
            <color indexed="81"/>
            <rFont val="Tahoma"/>
            <family val="2"/>
            <charset val="161"/>
          </rPr>
          <t xml:space="preserve">
Πείρα ακόμα ένα "λάθος" όταν δεν υπάρχει τιμή στην ΟΑ   του Από-Προς ούτως ώστε να μην υπάρχει έξοδος προς την οθόνη</t>
        </r>
      </text>
    </comment>
    <comment ref="CA107" authorId="0">
      <text>
        <r>
          <rPr>
            <b/>
            <sz val="9"/>
            <color indexed="81"/>
            <rFont val="Tahoma"/>
            <family val="2"/>
            <charset val="161"/>
          </rPr>
          <t>Syrios2:</t>
        </r>
        <r>
          <rPr>
            <sz val="9"/>
            <color indexed="81"/>
            <rFont val="Tahoma"/>
            <family val="2"/>
            <charset val="161"/>
          </rPr>
          <t xml:space="preserve">
Είσοδος από το έτος 
2000
</t>
        </r>
      </text>
    </comment>
    <comment ref="BZ112" authorId="0">
      <text>
        <r>
          <rPr>
            <sz val="9"/>
            <color indexed="81"/>
            <rFont val="Tahoma"/>
            <family val="2"/>
            <charset val="161"/>
          </rPr>
          <t xml:space="preserve">
Τα άστρα τρέχουν πιο γρήγορα κατά 4
περίπου λεπτά την ημέρα από τον ήλιο. Στο ροζ
υπολογίζεται ο χρόνος που χρειάζεται ο Ήλιος να
διανύσει την απόσταση από τις 30 μοίρες προς δυσμάς. Το παρακάτω προσαρμόζει τον ηλιακό
χρόνο και τον κάνει αστρικό.
(Γαλάζιο κελί)
</t>
        </r>
      </text>
    </comment>
    <comment ref="CA171" authorId="0">
      <text>
        <r>
          <rPr>
            <b/>
            <sz val="9"/>
            <color indexed="81"/>
            <rFont val="Tahoma"/>
            <family val="2"/>
            <charset val="161"/>
          </rPr>
          <t>Syrios2:</t>
        </r>
        <r>
          <rPr>
            <sz val="9"/>
            <color indexed="81"/>
            <rFont val="Tahoma"/>
            <family val="2"/>
            <charset val="161"/>
          </rPr>
          <t xml:space="preserve">
Πείρα ακόμα ένα "λάθος" όταν δεν υπάρχει τιμή στην ΟΑ   του Από-Προς ούτως ώστε να μην υπάρχει έξοδος προς την οθόνη</t>
        </r>
      </text>
    </comment>
  </commentList>
</comments>
</file>

<file path=xl/sharedStrings.xml><?xml version="1.0" encoding="utf-8"?>
<sst xmlns="http://schemas.openxmlformats.org/spreadsheetml/2006/main" count="5754" uniqueCount="4116">
  <si>
    <t>ΚΑΤΑΛΟΓΟΣ 1 Τράπεζα δεδομένων</t>
  </si>
  <si>
    <t>Α όνομα</t>
  </si>
  <si>
    <t xml:space="preserve">ΟΡΘΗ </t>
  </si>
  <si>
    <t>ΑΝΑΦΟΡΑ</t>
  </si>
  <si>
    <t xml:space="preserve">     α</t>
  </si>
  <si>
    <t>ΑΠΟΚΛΙΣΗ</t>
  </si>
  <si>
    <t xml:space="preserve">        δ</t>
  </si>
  <si>
    <t>Όνομα</t>
  </si>
  <si>
    <t>αναζήτησης</t>
  </si>
  <si>
    <t>Ώρες</t>
  </si>
  <si>
    <t>Λεπτά</t>
  </si>
  <si>
    <t>Δευτερόλ</t>
  </si>
  <si>
    <t>Μοίρες</t>
  </si>
  <si>
    <t>Ελληνικά</t>
  </si>
  <si>
    <t>Λατινικά</t>
  </si>
  <si>
    <t>α</t>
  </si>
  <si>
    <t>αρχή</t>
  </si>
  <si>
    <t xml:space="preserve">Γιάννης </t>
  </si>
  <si>
    <t>Παπαδόπουλος</t>
  </si>
  <si>
    <t>ααα 0</t>
  </si>
  <si>
    <t>Γράψτε</t>
  </si>
  <si>
    <t>από</t>
  </si>
  <si>
    <t>εδώ</t>
  </si>
  <si>
    <t>μέχρι</t>
  </si>
  <si>
    <t>και</t>
  </si>
  <si>
    <t>το ααα 9</t>
  </si>
  <si>
    <t>όνομα</t>
  </si>
  <si>
    <t>αντικειμένου</t>
  </si>
  <si>
    <t>ααα 1</t>
  </si>
  <si>
    <t>Σελήνη 21-7-2017</t>
  </si>
  <si>
    <t>και 5 θερινή ώρα</t>
  </si>
  <si>
    <t>ααα 2</t>
  </si>
  <si>
    <t>ααα 3</t>
  </si>
  <si>
    <t>Ελεύθερη</t>
  </si>
  <si>
    <t>Θέση</t>
  </si>
  <si>
    <t>ααα 4</t>
  </si>
  <si>
    <t>ααα 5</t>
  </si>
  <si>
    <t>ααα 6</t>
  </si>
  <si>
    <t>ααα 7</t>
  </si>
  <si>
    <t>ααα 8</t>
  </si>
  <si>
    <t>ααα 9</t>
  </si>
  <si>
    <t>Αετού</t>
  </si>
  <si>
    <t>Aquila</t>
  </si>
  <si>
    <t>α Αετου</t>
  </si>
  <si>
    <t>α Altair</t>
  </si>
  <si>
    <t>β Αετου</t>
  </si>
  <si>
    <t>β Aquila</t>
  </si>
  <si>
    <t>γ Αετου</t>
  </si>
  <si>
    <t>γ Aquila</t>
  </si>
  <si>
    <t>δ Αετου</t>
  </si>
  <si>
    <t>δ Aquila</t>
  </si>
  <si>
    <t>ε Αετου</t>
  </si>
  <si>
    <t>ε Aquila</t>
  </si>
  <si>
    <t>ζ Αετου</t>
  </si>
  <si>
    <t>ζ Aquila</t>
  </si>
  <si>
    <t>θ Αετου</t>
  </si>
  <si>
    <t>θ Aquila</t>
  </si>
  <si>
    <t>λ Αετου</t>
  </si>
  <si>
    <t>λ Aquila</t>
  </si>
  <si>
    <t>Αιγόκερου</t>
  </si>
  <si>
    <t>Capricornus</t>
  </si>
  <si>
    <t>α Αιγόκερου</t>
  </si>
  <si>
    <t>α Capricornus</t>
  </si>
  <si>
    <t>β Αιγόκερου</t>
  </si>
  <si>
    <t>β Capricornus</t>
  </si>
  <si>
    <t>γ Αιγόκερου</t>
  </si>
  <si>
    <t>γ Capricornus</t>
  </si>
  <si>
    <t>δ Αιγόκερου</t>
  </si>
  <si>
    <t>δ Capricornus</t>
  </si>
  <si>
    <t>ζ Αιγόκερου</t>
  </si>
  <si>
    <t>ζ Capricornus</t>
  </si>
  <si>
    <t>θ Αιγόκερου</t>
  </si>
  <si>
    <t>θ Capricornus</t>
  </si>
  <si>
    <t>ι Αιγόκερου</t>
  </si>
  <si>
    <t>ι Capricornus</t>
  </si>
  <si>
    <t>ψ Αιγόκερου</t>
  </si>
  <si>
    <t>ψ Capricornus</t>
  </si>
  <si>
    <t>ω Αιγόκερου</t>
  </si>
  <si>
    <t>ω Capricornus</t>
  </si>
  <si>
    <t>Vulpecula</t>
  </si>
  <si>
    <t>α Αλώπεκος</t>
  </si>
  <si>
    <t>α Vulpecula</t>
  </si>
  <si>
    <t>Μεγάλης Άρκτου</t>
  </si>
  <si>
    <t>Ursa Major</t>
  </si>
  <si>
    <t>23 Μεγάλης Άρκτου</t>
  </si>
  <si>
    <t>23 Ursa Major</t>
  </si>
  <si>
    <t>α Μεγάλης Άρκτου</t>
  </si>
  <si>
    <t>α Ursa Major</t>
  </si>
  <si>
    <t>β Μεγάλης Άρκτου</t>
  </si>
  <si>
    <t>β Ursa Major</t>
  </si>
  <si>
    <t>γ Μεγάλης Άρκτου</t>
  </si>
  <si>
    <t>γ Ursa Major</t>
  </si>
  <si>
    <t>δ Μεγάλης Άρκτου</t>
  </si>
  <si>
    <t>δ Ursa Major</t>
  </si>
  <si>
    <t>ε Μεγάλης Άρκτου</t>
  </si>
  <si>
    <t>ε Ursa Major</t>
  </si>
  <si>
    <t>ζ Μεγάλης Άρκτου. Διπλός</t>
  </si>
  <si>
    <t>ζ Ursa Major. Διπλός</t>
  </si>
  <si>
    <t>η Μεγάλης Άρκτου</t>
  </si>
  <si>
    <t>η Ursa Major</t>
  </si>
  <si>
    <t>θ Μεγάλης Άρκτου</t>
  </si>
  <si>
    <t>θ Ursa Major</t>
  </si>
  <si>
    <t>ι Μεγάλης Άρκτου</t>
  </si>
  <si>
    <t>ι Ursa Major</t>
  </si>
  <si>
    <t>κ Μεγάλης Άρκτου</t>
  </si>
  <si>
    <t>κ Ursa Major</t>
  </si>
  <si>
    <t>λ Μεγάλης Άρκτου</t>
  </si>
  <si>
    <t>λ Ursa Major</t>
  </si>
  <si>
    <t>μ Μεγάλης Άρκτου</t>
  </si>
  <si>
    <t>μ Ursa Major</t>
  </si>
  <si>
    <t>ν Μεγάλης Άρκτου</t>
  </si>
  <si>
    <t>ν Ursa Major</t>
  </si>
  <si>
    <t>ξ Μεγάλης Άρκτου. Διπλός</t>
  </si>
  <si>
    <t>ξ  Ursa Major. Διπλός</t>
  </si>
  <si>
    <t>ο Μεγάλης Άρκτου</t>
  </si>
  <si>
    <t>ο Ursa Major</t>
  </si>
  <si>
    <t>υ Μεγάλης Άρκτου</t>
  </si>
  <si>
    <t>υ Ursa Major</t>
  </si>
  <si>
    <t>χ Μεγάλης Άρκτου</t>
  </si>
  <si>
    <t>χ Ursa Major</t>
  </si>
  <si>
    <t>ψ Μεγάλης Άρκτου</t>
  </si>
  <si>
    <t>ψ Ursa Major</t>
  </si>
  <si>
    <t>Μικρής Άρκτου</t>
  </si>
  <si>
    <t>Ursa Minor</t>
  </si>
  <si>
    <t>α Μικρής Άρκτου. Πολικός αστέρας</t>
  </si>
  <si>
    <t>αUrsa Minor. Πολικός αστέρας</t>
  </si>
  <si>
    <t>β Μικρής Άρκτου</t>
  </si>
  <si>
    <t>β Ursa Minor</t>
  </si>
  <si>
    <t>γ Μικρής Άρκτου</t>
  </si>
  <si>
    <t>γ Ursa Minor</t>
  </si>
  <si>
    <t>δ Μικρής Άρκτου</t>
  </si>
  <si>
    <t>δ Ursa Minor</t>
  </si>
  <si>
    <t>ε Μικρής Άρκτου</t>
  </si>
  <si>
    <t>ε Ursa Minor</t>
  </si>
  <si>
    <t>ζ Μικρής Άρκτου</t>
  </si>
  <si>
    <t>ζ Ursa Minor</t>
  </si>
  <si>
    <t>η Μικρής Άρκτου</t>
  </si>
  <si>
    <t>η Ursa Minor</t>
  </si>
  <si>
    <t>Ανδρομέδας</t>
  </si>
  <si>
    <t>Andromeda</t>
  </si>
  <si>
    <t>51 Ανδρομέδας</t>
  </si>
  <si>
    <t>51 Andromeda</t>
  </si>
  <si>
    <t>α Ανδρομέδας</t>
  </si>
  <si>
    <t>α  Andromeda</t>
  </si>
  <si>
    <t>β Ανδρομέδας</t>
  </si>
  <si>
    <t>β Andromeda</t>
  </si>
  <si>
    <t>γ Ανδρομέδας. Διπλός</t>
  </si>
  <si>
    <t>γ  Andromeda. Διπλός</t>
  </si>
  <si>
    <t>δ Ανδρομέδας</t>
  </si>
  <si>
    <t>δ Andromeda</t>
  </si>
  <si>
    <t>ι Ανδρομέδας</t>
  </si>
  <si>
    <t>ι  Andromeda</t>
  </si>
  <si>
    <t>κ Ανδρομέδας</t>
  </si>
  <si>
    <t>κ  Andromeda</t>
  </si>
  <si>
    <t>λ Ανδρομέδας</t>
  </si>
  <si>
    <t>λ  Andromeda</t>
  </si>
  <si>
    <t>μ Ανδρομέδας</t>
  </si>
  <si>
    <t>μ  Andromeda</t>
  </si>
  <si>
    <t>ν Ανδρομέδας</t>
  </si>
  <si>
    <t>ν  Andromeda</t>
  </si>
  <si>
    <t>ο Ανδρομέδας</t>
  </si>
  <si>
    <t>ο  Andromeda</t>
  </si>
  <si>
    <t>φ Ανδρομέδας</t>
  </si>
  <si>
    <t>φ   Andromeda</t>
  </si>
  <si>
    <t>ψ Ανδρομέδας</t>
  </si>
  <si>
    <t>ψ  Andromeda</t>
  </si>
  <si>
    <t>Αντλίας</t>
  </si>
  <si>
    <t>Antlia</t>
  </si>
  <si>
    <t>α Αντλίας</t>
  </si>
  <si>
    <t>α Antlia</t>
  </si>
  <si>
    <t>ι Αντλίας</t>
  </si>
  <si>
    <t>ι Antlia</t>
  </si>
  <si>
    <t>Ασπίδας</t>
  </si>
  <si>
    <t>Scutum</t>
  </si>
  <si>
    <t>α Ασπίδας</t>
  </si>
  <si>
    <t>α Scutum</t>
  </si>
  <si>
    <t>β Ασπίδας</t>
  </si>
  <si>
    <t>β Scutum</t>
  </si>
  <si>
    <t>γ Ασπίδας</t>
  </si>
  <si>
    <t>γ Scutum</t>
  </si>
  <si>
    <t xml:space="preserve">διάφοροι </t>
  </si>
  <si>
    <t>κατάλογοι</t>
  </si>
  <si>
    <t xml:space="preserve">PK 190-17,1 </t>
  </si>
  <si>
    <t>Πλανητικό νεφέλωμα</t>
  </si>
  <si>
    <t>Βέλους</t>
  </si>
  <si>
    <t>α Βέλους</t>
  </si>
  <si>
    <t>β Βέλους</t>
  </si>
  <si>
    <t>γ Βέλους</t>
  </si>
  <si>
    <t>δ Βέλους</t>
  </si>
  <si>
    <t>Βοώτου</t>
  </si>
  <si>
    <t>Boo</t>
  </si>
  <si>
    <t>44 Βοώτου. Διπλός</t>
  </si>
  <si>
    <t>44 Boo. Διπλός</t>
  </si>
  <si>
    <t>α Βοώτου</t>
  </si>
  <si>
    <t>α Boo</t>
  </si>
  <si>
    <t>β Βοώτου</t>
  </si>
  <si>
    <t>β Boo</t>
  </si>
  <si>
    <t>γ Βοώτου</t>
  </si>
  <si>
    <t>γ Boo</t>
  </si>
  <si>
    <t>δ Βοώτου</t>
  </si>
  <si>
    <t>δ Boo</t>
  </si>
  <si>
    <t>ε Βοώτου. Διπλός</t>
  </si>
  <si>
    <t>ε Boo. Διπλός</t>
  </si>
  <si>
    <t>ζ Βοώτου</t>
  </si>
  <si>
    <t>ζ Boo</t>
  </si>
  <si>
    <t>η Βοώτου</t>
  </si>
  <si>
    <t>η Boo</t>
  </si>
  <si>
    <t>θ Βοώτου</t>
  </si>
  <si>
    <t>θ Boo</t>
  </si>
  <si>
    <t>κ Βοώτου. Διπλός</t>
  </si>
  <si>
    <t>κ Boo. Διπλός</t>
  </si>
  <si>
    <t>μ Βοώτου. Διπλός</t>
  </si>
  <si>
    <t>μ Boo. Διπλός</t>
  </si>
  <si>
    <t>ξ Βοώτου. Διπλός</t>
  </si>
  <si>
    <t>ξ Boo. Διπλός</t>
  </si>
  <si>
    <t>π Βοώτου. Διπλός</t>
  </si>
  <si>
    <t>π Boo. Διπλός</t>
  </si>
  <si>
    <t>Βωμού</t>
  </si>
  <si>
    <t>Ara</t>
  </si>
  <si>
    <t>Γερανού</t>
  </si>
  <si>
    <t>Grus</t>
  </si>
  <si>
    <t>Γλύπτη</t>
  </si>
  <si>
    <t>Sculptor</t>
  </si>
  <si>
    <t>γ Γλύπτη</t>
  </si>
  <si>
    <t>γ Sculptor</t>
  </si>
  <si>
    <t>δ Γλύπτη</t>
  </si>
  <si>
    <t>δ Sculptor</t>
  </si>
  <si>
    <t>Γνώμονα</t>
  </si>
  <si>
    <t>Norma</t>
  </si>
  <si>
    <t>Δελφίνος</t>
  </si>
  <si>
    <t>Delphinus</t>
  </si>
  <si>
    <t>α Δελφίνος</t>
  </si>
  <si>
    <t>α Delphinus</t>
  </si>
  <si>
    <t>β Δελφίνος</t>
  </si>
  <si>
    <t>β Delphinus</t>
  </si>
  <si>
    <t>γ Δελφίνος Διπλός</t>
  </si>
  <si>
    <t>γ Delphinus Διπλός</t>
  </si>
  <si>
    <t>δ Δελφίνος</t>
  </si>
  <si>
    <t>δ Delphinus</t>
  </si>
  <si>
    <t>ε Δελφίνος</t>
  </si>
  <si>
    <t>ε Delphinus</t>
  </si>
  <si>
    <t>ζ Δελφίνος</t>
  </si>
  <si>
    <t>ζ Delphinus</t>
  </si>
  <si>
    <t>Διδύμων</t>
  </si>
  <si>
    <t>Gemini</t>
  </si>
  <si>
    <t>Κάστωρ Πολλαπλός</t>
  </si>
  <si>
    <t>Castor. Διπλός</t>
  </si>
  <si>
    <t>Πολυδεύκης</t>
  </si>
  <si>
    <t>Pollux</t>
  </si>
  <si>
    <t>γ Διδύμων</t>
  </si>
  <si>
    <t>γ Gemini</t>
  </si>
  <si>
    <t>δ Διδύμων</t>
  </si>
  <si>
    <t>δ Gemini</t>
  </si>
  <si>
    <t>ε Διδύμων</t>
  </si>
  <si>
    <t>ε Gemini</t>
  </si>
  <si>
    <t>ζ Διδύμων</t>
  </si>
  <si>
    <t>ζ Gemini</t>
  </si>
  <si>
    <t>η Διδύμων</t>
  </si>
  <si>
    <t>η Gemini</t>
  </si>
  <si>
    <t>μ Διδύμων</t>
  </si>
  <si>
    <t>μ Gemini</t>
  </si>
  <si>
    <t>Δράκοντα</t>
  </si>
  <si>
    <t>Draco</t>
  </si>
  <si>
    <t>α Δράκοντα</t>
  </si>
  <si>
    <t>α Draco</t>
  </si>
  <si>
    <t>β αΔράκοντα</t>
  </si>
  <si>
    <t>β Draco</t>
  </si>
  <si>
    <t>γ Δράκοντα</t>
  </si>
  <si>
    <t>γ Draco</t>
  </si>
  <si>
    <t>δ Δράκοντα</t>
  </si>
  <si>
    <t>δ Draco</t>
  </si>
  <si>
    <t>ε Δράκοντα</t>
  </si>
  <si>
    <t>ε Draco</t>
  </si>
  <si>
    <t>ζ Δράκοντα. Διπλό</t>
  </si>
  <si>
    <t>ζ Draco. Διπλό</t>
  </si>
  <si>
    <t>η Δράκοντα</t>
  </si>
  <si>
    <t>η Draco</t>
  </si>
  <si>
    <t>θ Δράκοντα</t>
  </si>
  <si>
    <t>θ Draco</t>
  </si>
  <si>
    <t>ι Δράκοντα</t>
  </si>
  <si>
    <t>ι Draco</t>
  </si>
  <si>
    <t>λ Δράκοντα</t>
  </si>
  <si>
    <t>λ Draco</t>
  </si>
  <si>
    <t>ν Δράκοντα Διπλός</t>
  </si>
  <si>
    <t>ν Draco. Διπλός</t>
  </si>
  <si>
    <t>ξ Δράκοντα</t>
  </si>
  <si>
    <t>ξ Draco</t>
  </si>
  <si>
    <t>τ Δράκοντα</t>
  </si>
  <si>
    <t>τ Draco</t>
  </si>
  <si>
    <t>φ Δράκοντα</t>
  </si>
  <si>
    <t>φ Draco</t>
  </si>
  <si>
    <t>χ Δράκοντα</t>
  </si>
  <si>
    <t>χ Draco</t>
  </si>
  <si>
    <t>Κατάλογος</t>
  </si>
  <si>
    <t xml:space="preserve">        IC</t>
  </si>
  <si>
    <t>IC 0418 Πλανητικό Νεφέλωμα</t>
  </si>
  <si>
    <t>Spirograph νεφέλωμα</t>
  </si>
  <si>
    <t>IC 1276 Σφαιρωτό σμήνος</t>
  </si>
  <si>
    <t>17. 600 Ly George Ogden Abell</t>
  </si>
  <si>
    <t>IC 2003 Πλανητικό Νεφέλωμα</t>
  </si>
  <si>
    <t>IC 2149 Πλανητικό Νεφέλωμα</t>
  </si>
  <si>
    <t>Πλανητικό Νεφέλωμα</t>
  </si>
  <si>
    <t>IC 2165 Πλανητικό Νεφέλωμα</t>
  </si>
  <si>
    <t>IC 3568 Πλανητικό Νεφέλωμα Φέτα Λεμονιού</t>
  </si>
  <si>
    <t>Lemon Slice Nebula</t>
  </si>
  <si>
    <t>IC 4776 Πλανητικό Νεφέλωμα</t>
  </si>
  <si>
    <t>IC 4997 Πλανητικό Νεφέλωμα</t>
  </si>
  <si>
    <t>IC 5146 Νεφέλωμα εκπομπής</t>
  </si>
  <si>
    <t>Cocoon Nebula</t>
  </si>
  <si>
    <t>IC 5271-10,8Γαλαξίας</t>
  </si>
  <si>
    <t xml:space="preserve">79 Mly Lewis Swift </t>
  </si>
  <si>
    <t>εξάντα</t>
  </si>
  <si>
    <t>Sextans</t>
  </si>
  <si>
    <t>α εξάντα</t>
  </si>
  <si>
    <t>α Sextans</t>
  </si>
  <si>
    <t>β εξάντα</t>
  </si>
  <si>
    <t>β Sextans</t>
  </si>
  <si>
    <t>γ εξάντα</t>
  </si>
  <si>
    <t>γ Sextans</t>
  </si>
  <si>
    <t>Ζυγού</t>
  </si>
  <si>
    <t>Libra</t>
  </si>
  <si>
    <t>α Ζυγού. Διπλός</t>
  </si>
  <si>
    <t>α Libra. Διπλός</t>
  </si>
  <si>
    <t>β Ζυγού</t>
  </si>
  <si>
    <t>β Libra</t>
  </si>
  <si>
    <t>γ Ζυγού</t>
  </si>
  <si>
    <t>γ Libra</t>
  </si>
  <si>
    <t>σ Ζυγού</t>
  </si>
  <si>
    <t>σ Libra</t>
  </si>
  <si>
    <t>Ηνιόχου</t>
  </si>
  <si>
    <t>Auriga</t>
  </si>
  <si>
    <t>α Ηνιόχου. Αίγα</t>
  </si>
  <si>
    <t>α Auriga. Capella</t>
  </si>
  <si>
    <t>β Ηνιόχου</t>
  </si>
  <si>
    <t>β Auriga</t>
  </si>
  <si>
    <t>θ Ηνιόχου</t>
  </si>
  <si>
    <t>θ Auriga</t>
  </si>
  <si>
    <t>ι Ηνιόχου</t>
  </si>
  <si>
    <t>ι Auriga</t>
  </si>
  <si>
    <t>Ηρακλέους</t>
  </si>
  <si>
    <t>Hercules</t>
  </si>
  <si>
    <t>95 Ηρακλέους. Διπλός</t>
  </si>
  <si>
    <t>45 Hercules. Διπλός</t>
  </si>
  <si>
    <t>α Ηρακλέους. Διπλός</t>
  </si>
  <si>
    <t>α Hercules. Διπλός</t>
  </si>
  <si>
    <t>β Hercules</t>
  </si>
  <si>
    <t>γ Ηρακλέους. Διπλός</t>
  </si>
  <si>
    <t>γ Hercules. Διπλός</t>
  </si>
  <si>
    <t>δ Ηρακλέους. Διπλός</t>
  </si>
  <si>
    <t>δ Hercules. Διπολός</t>
  </si>
  <si>
    <t>ε Ηρακλέους</t>
  </si>
  <si>
    <t>ε Hercules</t>
  </si>
  <si>
    <t>ζ Ηρακλέους</t>
  </si>
  <si>
    <t>ζ Hercules</t>
  </si>
  <si>
    <t>η Ηρακλέους</t>
  </si>
  <si>
    <t>η Hercules</t>
  </si>
  <si>
    <t>θ Ηρακλέους</t>
  </si>
  <si>
    <t>θ Hercules</t>
  </si>
  <si>
    <t>ι Ηρακλέους</t>
  </si>
  <si>
    <t>ι Hercules</t>
  </si>
  <si>
    <t>κ Ηρακλέους. Διπλός</t>
  </si>
  <si>
    <t>κ Hercules. Διπλός</t>
  </si>
  <si>
    <t>λ Ηρακλέους</t>
  </si>
  <si>
    <t>λ Hercules</t>
  </si>
  <si>
    <t>μ Ηρακλέους</t>
  </si>
  <si>
    <t>μ Hercules</t>
  </si>
  <si>
    <t>ξ Ηρακλέους</t>
  </si>
  <si>
    <t>ξ Hercules</t>
  </si>
  <si>
    <t>ο Ηρακλέους</t>
  </si>
  <si>
    <t>ο Hercules</t>
  </si>
  <si>
    <t>π Ηρακλέους</t>
  </si>
  <si>
    <t>π Hercules</t>
  </si>
  <si>
    <t>ρ Ηρακλέους. Διπλός</t>
  </si>
  <si>
    <t>ρ Hercules. Διπλός</t>
  </si>
  <si>
    <t>σ Ηρακλέους. Διπλός</t>
  </si>
  <si>
    <t>σ Hercules. Διπλός</t>
  </si>
  <si>
    <t>τ Ηρακλέους. Διπλός</t>
  </si>
  <si>
    <t>τ Hercules. Διπλός</t>
  </si>
  <si>
    <t>υ Ηρακλέους</t>
  </si>
  <si>
    <t>υ Hercules</t>
  </si>
  <si>
    <t>φ Ηρακλέους</t>
  </si>
  <si>
    <t>φ Hercules</t>
  </si>
  <si>
    <t>χ Ηρακλέους</t>
  </si>
  <si>
    <t>χ Hercules</t>
  </si>
  <si>
    <t>Ηριδανού</t>
  </si>
  <si>
    <t>Eridanus</t>
  </si>
  <si>
    <t>β Ηριδανού</t>
  </si>
  <si>
    <t>β Eridanus</t>
  </si>
  <si>
    <t>γ Ηριδανού</t>
  </si>
  <si>
    <t>γ Eridanus</t>
  </si>
  <si>
    <t>δ Ηριδανού</t>
  </si>
  <si>
    <t>δ Eridanus</t>
  </si>
  <si>
    <t>ε Ηριδανού</t>
  </si>
  <si>
    <t>ε Eridanus</t>
  </si>
  <si>
    <t>ζ Ηριδανού</t>
  </si>
  <si>
    <t>ζ Eridanus</t>
  </si>
  <si>
    <t>η Ηριδανού</t>
  </si>
  <si>
    <t>η Eridanus</t>
  </si>
  <si>
    <t>μ Ηριδανού</t>
  </si>
  <si>
    <t>μ Eridanus</t>
  </si>
  <si>
    <t>ν Ηριδανού</t>
  </si>
  <si>
    <t>ν Eridanus</t>
  </si>
  <si>
    <t>π Ηριδανού</t>
  </si>
  <si>
    <t>π Eridanus</t>
  </si>
  <si>
    <t>τ1 Ηριδανού</t>
  </si>
  <si>
    <t>τ1 Eridanus</t>
  </si>
  <si>
    <t>τ2 Ηριδανού</t>
  </si>
  <si>
    <t>τ2 Eridanus</t>
  </si>
  <si>
    <t>τ3 Ηριδανού</t>
  </si>
  <si>
    <t>τ3 Eridanus</t>
  </si>
  <si>
    <t>τ4 Ηριδανού</t>
  </si>
  <si>
    <t>τ4 Eridanus</t>
  </si>
  <si>
    <t>τ5 Ηριδανού. Φασματικά διπλός.</t>
  </si>
  <si>
    <t>τ5 Eridanus. Spectroscopic binary.</t>
  </si>
  <si>
    <t>Ιππαρίου</t>
  </si>
  <si>
    <t>Equuleus</t>
  </si>
  <si>
    <t>α Ιππαρίου</t>
  </si>
  <si>
    <t>α Equuleus</t>
  </si>
  <si>
    <t>γ Ιππρίου</t>
  </si>
  <si>
    <t>γ Equuleus</t>
  </si>
  <si>
    <t>δ Ιππαρίου</t>
  </si>
  <si>
    <t>δ Equuleus</t>
  </si>
  <si>
    <t>Ιστίων</t>
  </si>
  <si>
    <t>Vela</t>
  </si>
  <si>
    <t>Ιχθύων</t>
  </si>
  <si>
    <t>Pisces</t>
  </si>
  <si>
    <t>α Ιχθύων</t>
  </si>
  <si>
    <t>α Pisces</t>
  </si>
  <si>
    <t>β Ιχθύων</t>
  </si>
  <si>
    <t>β Pisces</t>
  </si>
  <si>
    <t>γ Ιχθύων</t>
  </si>
  <si>
    <t>γ Pisces</t>
  </si>
  <si>
    <t>δ Ιχθύων</t>
  </si>
  <si>
    <t>δ Pisces</t>
  </si>
  <si>
    <t>ε Ιχθύων. Διπλός</t>
  </si>
  <si>
    <t>ε Pisces. Διπλός</t>
  </si>
  <si>
    <t>η Ιχθύων. Διπλός</t>
  </si>
  <si>
    <t>η Pisces. Διπλός</t>
  </si>
  <si>
    <t>θ Ιχθύων</t>
  </si>
  <si>
    <t>θ Pisces</t>
  </si>
  <si>
    <t>ι Ιχθύων</t>
  </si>
  <si>
    <t>ι Pisces</t>
  </si>
  <si>
    <t>κ Ιχθύων</t>
  </si>
  <si>
    <t>κ Pisces</t>
  </si>
  <si>
    <t>λ Ιχθύων</t>
  </si>
  <si>
    <t>λ Pisces</t>
  </si>
  <si>
    <t>μ Ιχθύων</t>
  </si>
  <si>
    <t>μ Pisces</t>
  </si>
  <si>
    <t>ν Ιχθύων</t>
  </si>
  <si>
    <t>ν Pisces</t>
  </si>
  <si>
    <t>ο Ιχθύων</t>
  </si>
  <si>
    <t>ο Pisces</t>
  </si>
  <si>
    <t>ω Ιχθύων</t>
  </si>
  <si>
    <t>ω Pisces</t>
  </si>
  <si>
    <t>Νοτίου ιχθύ</t>
  </si>
  <si>
    <t>Piscis Austrinus</t>
  </si>
  <si>
    <t>α Νοτίου ιχθύ. Fomalhaut. Διπλός</t>
  </si>
  <si>
    <t>α Piscis Austrinus. Fomalhaut. Διπλός</t>
  </si>
  <si>
    <t>β Νοτίου ιχθύ</t>
  </si>
  <si>
    <t xml:space="preserve">β Piscis Austrinus. </t>
  </si>
  <si>
    <t>γ Νοτίου ιχθύ</t>
  </si>
  <si>
    <t>γ Piscis Austrinus</t>
  </si>
  <si>
    <t>δ Νοτίου ιχθύ</t>
  </si>
  <si>
    <t>δ Piscis Austrinus</t>
  </si>
  <si>
    <t>ε Νοτίου ιχθύ</t>
  </si>
  <si>
    <t>ε Piscis Austrinus</t>
  </si>
  <si>
    <t>Καμηλοπάρδαλης</t>
  </si>
  <si>
    <t>Camelopardalis</t>
  </si>
  <si>
    <t>α Καμηλοπάρδαλης</t>
  </si>
  <si>
    <t>α Camelopardalis</t>
  </si>
  <si>
    <t>β Καμηλοπάρδαλης</t>
  </si>
  <si>
    <t>β Camelopardalis</t>
  </si>
  <si>
    <t>γ Καμηλοπάρδαλης</t>
  </si>
  <si>
    <t>γ Camelopardalis</t>
  </si>
  <si>
    <t>Καμίνου</t>
  </si>
  <si>
    <t>Fornax</t>
  </si>
  <si>
    <t>Καρκίνου</t>
  </si>
  <si>
    <t>Cancer</t>
  </si>
  <si>
    <t>α Καρκίνου</t>
  </si>
  <si>
    <t>α Cancer</t>
  </si>
  <si>
    <t>β Καρκίνου</t>
  </si>
  <si>
    <t>β Cancer</t>
  </si>
  <si>
    <t>γ Καρκίνου</t>
  </si>
  <si>
    <t>γ Cancer</t>
  </si>
  <si>
    <t>δ Καρκίνου. Διπλός</t>
  </si>
  <si>
    <t>δ Cancer. Διπλός</t>
  </si>
  <si>
    <t>ζ Καρκίνου. Διπλός</t>
  </si>
  <si>
    <t>ζ Cancer. Διπλός</t>
  </si>
  <si>
    <t>ι Καρκίνου</t>
  </si>
  <si>
    <t>ι Cancer</t>
  </si>
  <si>
    <t>Κασσιόπης</t>
  </si>
  <si>
    <t>Cassiopeia</t>
  </si>
  <si>
    <t>α Κασσιόπης</t>
  </si>
  <si>
    <t>α Cassiopeia</t>
  </si>
  <si>
    <t>β Κασσιόπης</t>
  </si>
  <si>
    <t>β Cassiopeia</t>
  </si>
  <si>
    <t>γ Κασσιόπης</t>
  </si>
  <si>
    <t>γ Cassiopeia</t>
  </si>
  <si>
    <t>δ Κασσιόπης</t>
  </si>
  <si>
    <t>δ Cassiopeia</t>
  </si>
  <si>
    <t>ε Κασσιόπης</t>
  </si>
  <si>
    <t>ε Cassiopeia</t>
  </si>
  <si>
    <t>η Κασσιόπης. Διπλός</t>
  </si>
  <si>
    <t>η Cassiopeia. Διπλός</t>
  </si>
  <si>
    <t>ι Κασσιόπης. Πολλαπλός</t>
  </si>
  <si>
    <t>ι Cassiopeia. Πολλαπλός</t>
  </si>
  <si>
    <t>κ Κασσιόπης</t>
  </si>
  <si>
    <t>κ Cassiopeia</t>
  </si>
  <si>
    <t>ο Κασσιόπης</t>
  </si>
  <si>
    <t>ο Cassiopeia</t>
  </si>
  <si>
    <t>Κενταύρου</t>
  </si>
  <si>
    <t>Centaurus</t>
  </si>
  <si>
    <t>θ Κενταύρου</t>
  </si>
  <si>
    <t>θ Centaurus</t>
  </si>
  <si>
    <t>ι Κενταύρου</t>
  </si>
  <si>
    <t>ι Centaurus</t>
  </si>
  <si>
    <t>Κήτους</t>
  </si>
  <si>
    <t>Cetus</t>
  </si>
  <si>
    <t>α Κήτους</t>
  </si>
  <si>
    <t>α Cetus</t>
  </si>
  <si>
    <t xml:space="preserve">β Κήτους </t>
  </si>
  <si>
    <t>β Cetus Diphda</t>
  </si>
  <si>
    <t>γ Κήτους. Διπλός</t>
  </si>
  <si>
    <t>γ Cetus. Διπλός</t>
  </si>
  <si>
    <t>δ Κήτους</t>
  </si>
  <si>
    <t>δ Cetus</t>
  </si>
  <si>
    <t>ζ Κήτους</t>
  </si>
  <si>
    <t>ζ Cetus</t>
  </si>
  <si>
    <t>η Κήτους</t>
  </si>
  <si>
    <t>η Cetus</t>
  </si>
  <si>
    <t>θ Κήτους</t>
  </si>
  <si>
    <t>θ Cetus</t>
  </si>
  <si>
    <t>ι Κήτους</t>
  </si>
  <si>
    <t>ι Cetus</t>
  </si>
  <si>
    <t>ο Κήτους. Ο Θαυμάσιος!</t>
  </si>
  <si>
    <t>ο Cetus Mira</t>
  </si>
  <si>
    <t>π Κήτους</t>
  </si>
  <si>
    <t>π Cetus</t>
  </si>
  <si>
    <t>τ Κήτους Γείτονας</t>
  </si>
  <si>
    <t>τ Cetus 12 Έτη φωτός</t>
  </si>
  <si>
    <t>υ Κήτους</t>
  </si>
  <si>
    <t>υ Cetus</t>
  </si>
  <si>
    <t>Κηφέως</t>
  </si>
  <si>
    <t>Cepheus</t>
  </si>
  <si>
    <t>α Κηφέως</t>
  </si>
  <si>
    <t>α Cepheus</t>
  </si>
  <si>
    <t>β Κηφέως</t>
  </si>
  <si>
    <t>β Cepheus</t>
  </si>
  <si>
    <t>γ Κηφέως</t>
  </si>
  <si>
    <t>γ Cepheus</t>
  </si>
  <si>
    <t xml:space="preserve">δ Κηφέως.Κλασικός Κηφείδας </t>
  </si>
  <si>
    <t>δ Cepheus.Διπλός</t>
  </si>
  <si>
    <t>ε Κηφέως</t>
  </si>
  <si>
    <t>ε Cepheus</t>
  </si>
  <si>
    <t>ζ Κηφέως</t>
  </si>
  <si>
    <t>ζ Cepheus</t>
  </si>
  <si>
    <t>η Κηφέως</t>
  </si>
  <si>
    <t>η Cepheus</t>
  </si>
  <si>
    <t>θ Κηφέως</t>
  </si>
  <si>
    <t>θ Cepheus</t>
  </si>
  <si>
    <t>ι Κηφέως</t>
  </si>
  <si>
    <t>ι Cepheus</t>
  </si>
  <si>
    <t>μ Κηφέως</t>
  </si>
  <si>
    <t>μ Cepheus</t>
  </si>
  <si>
    <t>ξ Κηφέως. Διπλός</t>
  </si>
  <si>
    <t>ξ Cepheus. Διπλός</t>
  </si>
  <si>
    <t>Μεγάλου Κύνα</t>
  </si>
  <si>
    <t>Canis Major</t>
  </si>
  <si>
    <t>α Μεγάλου Κύνα. Διπλός</t>
  </si>
  <si>
    <t>Σείριος</t>
  </si>
  <si>
    <t>β Μεγάλου Κύνα</t>
  </si>
  <si>
    <t>β Canis Major</t>
  </si>
  <si>
    <t>δ Μεγάλου Κύνα</t>
  </si>
  <si>
    <t>δ Canis Major</t>
  </si>
  <si>
    <t>ε Μεγάλου Κύνα</t>
  </si>
  <si>
    <t>ε Canis Major</t>
  </si>
  <si>
    <t>ζ Μεγάλου Κύνα</t>
  </si>
  <si>
    <t>ζ Canis Major</t>
  </si>
  <si>
    <t>η Μεγάλου Κύνα</t>
  </si>
  <si>
    <t>η Canis Major</t>
  </si>
  <si>
    <r>
      <t>ν</t>
    </r>
    <r>
      <rPr>
        <sz val="8"/>
        <color theme="1"/>
        <rFont val="Times New Roman"/>
        <family val="1"/>
        <charset val="161"/>
      </rPr>
      <t>1</t>
    </r>
    <r>
      <rPr>
        <sz val="11"/>
        <color theme="1"/>
        <rFont val="Times New Roman"/>
        <family val="1"/>
        <charset val="161"/>
      </rPr>
      <t xml:space="preserve"> Μεγάλου Κύνα Διπλός</t>
    </r>
  </si>
  <si>
    <r>
      <t>ν</t>
    </r>
    <r>
      <rPr>
        <sz val="8"/>
        <color theme="1"/>
        <rFont val="Times New Roman"/>
        <family val="1"/>
        <charset val="161"/>
      </rPr>
      <t>1</t>
    </r>
    <r>
      <rPr>
        <sz val="11"/>
        <color theme="1"/>
        <rFont val="Times New Roman"/>
        <family val="1"/>
        <charset val="161"/>
      </rPr>
      <t xml:space="preserve"> Canis Major</t>
    </r>
  </si>
  <si>
    <t>Μικρού Κύνα</t>
  </si>
  <si>
    <t>Canis Minor</t>
  </si>
  <si>
    <t>α Μικρού Κυνα. Προκύων</t>
  </si>
  <si>
    <t>α Canis Minor. Προκύων</t>
  </si>
  <si>
    <t>β Μικρού Κυνα</t>
  </si>
  <si>
    <t>β Canis Minor</t>
  </si>
  <si>
    <t>γ Μικρού Κυνα</t>
  </si>
  <si>
    <t>γ Canis Minor</t>
  </si>
  <si>
    <t>Κόμης Βερενίκης</t>
  </si>
  <si>
    <t>Coma Berenices</t>
  </si>
  <si>
    <t>α Κόμης Βερενίκης. Διπλός</t>
  </si>
  <si>
    <t>α Coma Berenices. Διπλός</t>
  </si>
  <si>
    <t>β Κόμης Βερενίκης</t>
  </si>
  <si>
    <t>β Coma Berenices</t>
  </si>
  <si>
    <t>γ Κόμης Βερενίκης</t>
  </si>
  <si>
    <t>γ Coma Berenices</t>
  </si>
  <si>
    <t>Κόρακα</t>
  </si>
  <si>
    <t>Corvus</t>
  </si>
  <si>
    <t>α Κόρακα</t>
  </si>
  <si>
    <t>α Corvus</t>
  </si>
  <si>
    <t>β Κόρακα</t>
  </si>
  <si>
    <t>β Corvus</t>
  </si>
  <si>
    <t>γ Κόρακα</t>
  </si>
  <si>
    <t>γ Corvus</t>
  </si>
  <si>
    <t>δ Κόρακα</t>
  </si>
  <si>
    <t>δ Corvus</t>
  </si>
  <si>
    <t>εΚόρακα</t>
  </si>
  <si>
    <t>ε Corvus</t>
  </si>
  <si>
    <t>Κρατήρος</t>
  </si>
  <si>
    <t>Crater</t>
  </si>
  <si>
    <t>α Κρατήρος</t>
  </si>
  <si>
    <t>α Crater</t>
  </si>
  <si>
    <t>β Κρατήρος</t>
  </si>
  <si>
    <t>β Crater</t>
  </si>
  <si>
    <t>γ Κρατήρος</t>
  </si>
  <si>
    <t>γ Crater</t>
  </si>
  <si>
    <t>δ Κρατήρος</t>
  </si>
  <si>
    <t>δ Crater</t>
  </si>
  <si>
    <t>ε Κρατήρος</t>
  </si>
  <si>
    <t>ε Crater</t>
  </si>
  <si>
    <t>ζ Κρατήρος</t>
  </si>
  <si>
    <t>ζ Crater</t>
  </si>
  <si>
    <t>η Κρατήρος</t>
  </si>
  <si>
    <t>η Crater</t>
  </si>
  <si>
    <t>θ Κρατήρος</t>
  </si>
  <si>
    <t>θ Crater</t>
  </si>
  <si>
    <t>Κριού</t>
  </si>
  <si>
    <t>Aries</t>
  </si>
  <si>
    <t>41 Κριού</t>
  </si>
  <si>
    <t>41 Aries</t>
  </si>
  <si>
    <t>α Κριού</t>
  </si>
  <si>
    <t>α Aries</t>
  </si>
  <si>
    <t>β Κριού</t>
  </si>
  <si>
    <t>β Aries</t>
  </si>
  <si>
    <t>γ Κριού Διπλός</t>
  </si>
  <si>
    <t>γ Aries Διπλός</t>
  </si>
  <si>
    <t>Θηρευτικοί κύνες</t>
  </si>
  <si>
    <t>Canes Venatici</t>
  </si>
  <si>
    <t>Καρδιά Καρόλου. Διπλός</t>
  </si>
  <si>
    <t>Cor Caroli</t>
  </si>
  <si>
    <t>β Θηρευτικοί κύνες</t>
  </si>
  <si>
    <t>β Canes Venatici</t>
  </si>
  <si>
    <t>Κύκνου</t>
  </si>
  <si>
    <t>Cygnus</t>
  </si>
  <si>
    <t>52 Κύκνου</t>
  </si>
  <si>
    <t>52 Cygnus</t>
  </si>
  <si>
    <t>61 Κύκνου. Διπλός</t>
  </si>
  <si>
    <t>61 Cygnus. Διπλός</t>
  </si>
  <si>
    <t>Deneb</t>
  </si>
  <si>
    <t>α Cygnus</t>
  </si>
  <si>
    <t>Albireo. Διπλός</t>
  </si>
  <si>
    <t>β Cygnus. Διπλός</t>
  </si>
  <si>
    <t>δ Κύκνου</t>
  </si>
  <si>
    <t>δ Cygnus</t>
  </si>
  <si>
    <t>ε Κύκνου. Διπλός</t>
  </si>
  <si>
    <t>ε Cygnus. Διπλός</t>
  </si>
  <si>
    <t>ζ Κύκνου</t>
  </si>
  <si>
    <t>ζ Cygnus</t>
  </si>
  <si>
    <t>η Κύκνου</t>
  </si>
  <si>
    <t>η Cygnus</t>
  </si>
  <si>
    <t>ι Κύκνου</t>
  </si>
  <si>
    <t>ι Cygnus</t>
  </si>
  <si>
    <t>κ Κύκνου</t>
  </si>
  <si>
    <t>κ Cygnus</t>
  </si>
  <si>
    <t>ν Κύκνου. Διπλός</t>
  </si>
  <si>
    <t>ν Cygnus. Διπλός</t>
  </si>
  <si>
    <t>ξ Κύκνου</t>
  </si>
  <si>
    <t>ξ Cygnus</t>
  </si>
  <si>
    <r>
      <t>o</t>
    </r>
    <r>
      <rPr>
        <sz val="8"/>
        <color theme="1"/>
        <rFont val="Times New Roman"/>
        <family val="1"/>
        <charset val="161"/>
      </rPr>
      <t>1</t>
    </r>
    <r>
      <rPr>
        <sz val="11"/>
        <color theme="1"/>
        <rFont val="Times New Roman"/>
        <family val="1"/>
        <charset val="161"/>
      </rPr>
      <t xml:space="preserve"> Κύκνου. Διπλός</t>
    </r>
  </si>
  <si>
    <r>
      <t>o</t>
    </r>
    <r>
      <rPr>
        <sz val="8"/>
        <color theme="1"/>
        <rFont val="Times New Roman"/>
        <family val="1"/>
        <charset val="161"/>
      </rPr>
      <t>1</t>
    </r>
    <r>
      <rPr>
        <sz val="11"/>
        <color theme="1"/>
        <rFont val="Times New Roman"/>
        <family val="1"/>
        <charset val="161"/>
      </rPr>
      <t xml:space="preserve"> Cygnus. Διπλός</t>
    </r>
  </si>
  <si>
    <r>
      <t>o</t>
    </r>
    <r>
      <rPr>
        <sz val="8"/>
        <color theme="1"/>
        <rFont val="Times New Roman"/>
        <family val="1"/>
        <charset val="161"/>
      </rPr>
      <t>2</t>
    </r>
    <r>
      <rPr>
        <sz val="11"/>
        <color theme="1"/>
        <rFont val="Times New Roman"/>
        <family val="1"/>
        <charset val="161"/>
      </rPr>
      <t xml:space="preserve"> Κύκνου</t>
    </r>
  </si>
  <si>
    <r>
      <t>o</t>
    </r>
    <r>
      <rPr>
        <sz val="8"/>
        <color theme="1"/>
        <rFont val="Times New Roman"/>
        <family val="1"/>
        <charset val="161"/>
      </rPr>
      <t>2</t>
    </r>
    <r>
      <rPr>
        <sz val="11"/>
        <color theme="1"/>
        <rFont val="Times New Roman"/>
        <family val="1"/>
        <charset val="161"/>
      </rPr>
      <t xml:space="preserve"> Cygnus</t>
    </r>
  </si>
  <si>
    <t>σ Κύκνου</t>
  </si>
  <si>
    <t>σ Cygnus</t>
  </si>
  <si>
    <t>τ Κύκνου</t>
  </si>
  <si>
    <t>τ Cygnus</t>
  </si>
  <si>
    <t>Λαγού</t>
  </si>
  <si>
    <t>Lepus</t>
  </si>
  <si>
    <t>α Λαγού</t>
  </si>
  <si>
    <t>α Lepus</t>
  </si>
  <si>
    <t>β Λαγού. Διπλός</t>
  </si>
  <si>
    <t>β Lepus. Διπλός</t>
  </si>
  <si>
    <t>γ Λαγού. Οπτικά Διπλός</t>
  </si>
  <si>
    <t>γ Lepus. Οπτικά Διπλός</t>
  </si>
  <si>
    <t>δ Λαγού</t>
  </si>
  <si>
    <t>δ Lepus</t>
  </si>
  <si>
    <t>ε Λαγού</t>
  </si>
  <si>
    <t>ε Lepus</t>
  </si>
  <si>
    <t>ζ Λαγού</t>
  </si>
  <si>
    <t>ζ Lepus</t>
  </si>
  <si>
    <t>η Λαγού</t>
  </si>
  <si>
    <t>η Lepus</t>
  </si>
  <si>
    <t>μ Λαγού</t>
  </si>
  <si>
    <t>μ Lepus</t>
  </si>
  <si>
    <t>Λέοντος</t>
  </si>
  <si>
    <t>Leo</t>
  </si>
  <si>
    <t xml:space="preserve">α Λέοντος Βασιλίσκος. Διπλός </t>
  </si>
  <si>
    <t xml:space="preserve">α Leo. Διπλός Regulus </t>
  </si>
  <si>
    <t>β Λέοντος</t>
  </si>
  <si>
    <t>β Leo</t>
  </si>
  <si>
    <t>γ Λέοντος. Διπλός</t>
  </si>
  <si>
    <t>γ Leo. Διπλός</t>
  </si>
  <si>
    <t>δ Λέοντος</t>
  </si>
  <si>
    <t>δ Leo</t>
  </si>
  <si>
    <t>ε Λέοντος</t>
  </si>
  <si>
    <t>ε Leo</t>
  </si>
  <si>
    <t>ζ Λέοντος</t>
  </si>
  <si>
    <t>ζ Leo</t>
  </si>
  <si>
    <t>η Λέοντος</t>
  </si>
  <si>
    <t>η Leo</t>
  </si>
  <si>
    <t>θ Λέοντος</t>
  </si>
  <si>
    <t>θ Leo</t>
  </si>
  <si>
    <t>ι Λέοντος</t>
  </si>
  <si>
    <t>ι Leo</t>
  </si>
  <si>
    <t>λ Λέοντος</t>
  </si>
  <si>
    <t>λ Leo</t>
  </si>
  <si>
    <t>μ Λέοντος</t>
  </si>
  <si>
    <t>μ Leo</t>
  </si>
  <si>
    <t>ν Λέοντος</t>
  </si>
  <si>
    <t>ν Leo</t>
  </si>
  <si>
    <t>ρ Λέοντος</t>
  </si>
  <si>
    <t>ρ Leo</t>
  </si>
  <si>
    <t>σ Λέοντος</t>
  </si>
  <si>
    <t>σ Leo</t>
  </si>
  <si>
    <t>Μικρού Λέοντα</t>
  </si>
  <si>
    <t>Leo Minor</t>
  </si>
  <si>
    <t>10 Μικρού Λέοντα</t>
  </si>
  <si>
    <t>10 Leo Minor</t>
  </si>
  <si>
    <t>21 Μικρού Λέοντα</t>
  </si>
  <si>
    <t>21 Leo Minor</t>
  </si>
  <si>
    <t>46 Μικρού Λέοντα</t>
  </si>
  <si>
    <t>46 Leo Minor</t>
  </si>
  <si>
    <t>β Μικρού Λέοντα</t>
  </si>
  <si>
    <t>β Leo Minor</t>
  </si>
  <si>
    <t>Λύγκα</t>
  </si>
  <si>
    <t>Lynx</t>
  </si>
  <si>
    <t xml:space="preserve">α Λύγκα </t>
  </si>
  <si>
    <t>α Lynx</t>
  </si>
  <si>
    <t>Λύκου</t>
  </si>
  <si>
    <t>Lupus</t>
  </si>
  <si>
    <t>Λύρας</t>
  </si>
  <si>
    <t>Lyra</t>
  </si>
  <si>
    <t>α Λύρας. Βέγας</t>
  </si>
  <si>
    <t>α Lyra.Vega</t>
  </si>
  <si>
    <t>β Λύρας</t>
  </si>
  <si>
    <t>β Lyra</t>
  </si>
  <si>
    <t>γ Λύρας</t>
  </si>
  <si>
    <t>γ Lyra</t>
  </si>
  <si>
    <t>δ Λύρας. Διπλός</t>
  </si>
  <si>
    <t>δ Lyra. Διπλός</t>
  </si>
  <si>
    <t>ε Λύρας. Διπλά διπλός</t>
  </si>
  <si>
    <t>ε Lyra. Διπλά διπλός</t>
  </si>
  <si>
    <t>ζ Λύρας. Διπλός</t>
  </si>
  <si>
    <t>ζ Lyra. Διπλός</t>
  </si>
  <si>
    <t>η Λύρας</t>
  </si>
  <si>
    <t>η Lyra</t>
  </si>
  <si>
    <t>θ Λύρας</t>
  </si>
  <si>
    <t>θ Lyra</t>
  </si>
  <si>
    <t>Messier</t>
  </si>
  <si>
    <t>M1 Πλανητικό Νεφέλωμα Καρκίνος</t>
  </si>
  <si>
    <t>Μ1 Crab Nebula 6.000 Ly</t>
  </si>
  <si>
    <t>M2. Σφαιρωτό σμήνος</t>
  </si>
  <si>
    <t>M 2. 35.000 Ly</t>
  </si>
  <si>
    <t>M3. Σφαιρωτό σμήνος</t>
  </si>
  <si>
    <t>M 3.  34.000 LY</t>
  </si>
  <si>
    <t xml:space="preserve">M4. Σφαιρωτό σμήνος </t>
  </si>
  <si>
    <t>Μ4. 7.200 LY</t>
  </si>
  <si>
    <t xml:space="preserve">Μ5. Σφαιρωτό Σμήνος     </t>
  </si>
  <si>
    <t>M5. 24.500 Ly</t>
  </si>
  <si>
    <t>M6. Ανοιχτό Σμήνος</t>
  </si>
  <si>
    <t>Σμήνος πεταλούδα 1.600 LY</t>
  </si>
  <si>
    <t>M7. Ανοιχτό Σμήνος</t>
  </si>
  <si>
    <t>To  σμήνος του Πτολεμαίου 800 LY</t>
  </si>
  <si>
    <t>M8 Νεφέλωμα Λιμνοθάλασσα</t>
  </si>
  <si>
    <t>Μ8 Lagoon 5.200 Ly</t>
  </si>
  <si>
    <t>M9.Σφαιρωτό σμήνος</t>
  </si>
  <si>
    <t xml:space="preserve">M9 2.600 Ly </t>
  </si>
  <si>
    <t>M10.Σφαιρωτό σμήνος</t>
  </si>
  <si>
    <t xml:space="preserve">M 10.  14.000 Ly </t>
  </si>
  <si>
    <t>M11. Ανοιχτό Σμήνος</t>
  </si>
  <si>
    <t>M11. Σμήνος της αγριόπαπιας. 6200 Ly</t>
  </si>
  <si>
    <t>M12 .Σφαιρωτό Σμήνος</t>
  </si>
  <si>
    <t>M12 15.700 Ly</t>
  </si>
  <si>
    <t>M13.Σφαιρωτό Σμήνος</t>
  </si>
  <si>
    <t>M13  25.100 LY</t>
  </si>
  <si>
    <t>M14.Σφαιρωτό Σμήνος</t>
  </si>
  <si>
    <t>M14 30.300 Ly</t>
  </si>
  <si>
    <t xml:space="preserve">Μ15.Σφαιρωτό Σμήνος </t>
  </si>
  <si>
    <t>Μ15 33.600 Ly</t>
  </si>
  <si>
    <t>M16 Νεφέλωμα Αετός</t>
  </si>
  <si>
    <t>M16 7.000 Ly</t>
  </si>
  <si>
    <t>M17 Νεφέλωμα Κύκνος ή Ωμέγα</t>
  </si>
  <si>
    <t>M17 5.500</t>
  </si>
  <si>
    <t>Μ18. Ανοιχτό Σμήνος</t>
  </si>
  <si>
    <t>M18 4.900 Ly</t>
  </si>
  <si>
    <t>M19.Σφαιρωτό Σμήνος</t>
  </si>
  <si>
    <t>M19 28.000</t>
  </si>
  <si>
    <t>M20 Τρισχιδές ή Τριφυλλιού</t>
  </si>
  <si>
    <t>M20 6000 Ly</t>
  </si>
  <si>
    <t>M21. Ανοιχτό Σμήνος</t>
  </si>
  <si>
    <t>M21 4.250 Ly</t>
  </si>
  <si>
    <t>M22.Σφαιρωτό Σμήνος</t>
  </si>
  <si>
    <t>M22 10.600 Ly</t>
  </si>
  <si>
    <t>Μ23. Ανοιχτό Σμήνος.Σφαιρωτό Σμήνος</t>
  </si>
  <si>
    <t>M23 2.150</t>
  </si>
  <si>
    <t>Μ24. Αστρικό Νέφος!!!</t>
  </si>
  <si>
    <t>Πολλά αντικείμενα! 10.000 Ly</t>
  </si>
  <si>
    <t>Μ25. Ανοιχτό Σμήνος</t>
  </si>
  <si>
    <t>M25 2.000 Ly</t>
  </si>
  <si>
    <t>M26. Ανοιχτό Σμήνος</t>
  </si>
  <si>
    <t>M26 5.000 Ly</t>
  </si>
  <si>
    <t>Μ27 Πλανητικό Νεφέλωμα Αλτήρας</t>
  </si>
  <si>
    <t>Μ27 The Dumbbell Nebula  5.000 Ly</t>
  </si>
  <si>
    <t>M28. Σφαιρωτό Σμήνος</t>
  </si>
  <si>
    <t>M28 17.900 Ly</t>
  </si>
  <si>
    <t>Μ29. Ανοιχτό Σμήνος</t>
  </si>
  <si>
    <t>Μ29 4.000-7.000 Ly</t>
  </si>
  <si>
    <t>M30. Σφαιρωτό Σμήνος</t>
  </si>
  <si>
    <t xml:space="preserve">M30 </t>
  </si>
  <si>
    <t xml:space="preserve">Μ31-3,5 O Γαλαξίας της Ανδρομέδας </t>
  </si>
  <si>
    <t>2,4 Mly Γαλαξίας της Ανδρομέδας</t>
  </si>
  <si>
    <t>Μ 33-5,5 Γαλαξίας</t>
  </si>
  <si>
    <t>3 Mly Γαλαξίας του Τριγώνου</t>
  </si>
  <si>
    <t>Μ35. Ανοιχτό Σμήνος</t>
  </si>
  <si>
    <t>Μ35 2.800 Ly</t>
  </si>
  <si>
    <t>Μ36. Ανοιχτό Σμήνος</t>
  </si>
  <si>
    <t>M36 4.100 Ly</t>
  </si>
  <si>
    <t>Μ37. Ανοιχτό Σμήνος</t>
  </si>
  <si>
    <t xml:space="preserve">M37 4.500 Ly </t>
  </si>
  <si>
    <t>Μ38. Ανοιχτό Σμήνος</t>
  </si>
  <si>
    <t>M38 4.200 Ly</t>
  </si>
  <si>
    <t>Μ39. Ανοιχτό Σμήνος</t>
  </si>
  <si>
    <t>M39 800 Ly</t>
  </si>
  <si>
    <t>Μ41. Ανοιχτό Σμήνος</t>
  </si>
  <si>
    <t>M41 2.300 Ly</t>
  </si>
  <si>
    <t xml:space="preserve">Μ42 Μέγα Νεφέλωμα του Ωρίωνα </t>
  </si>
  <si>
    <t>M42 1.340 Ly</t>
  </si>
  <si>
    <t xml:space="preserve">Μ44. Ανοιχτό Σμήνος. Φάτνη ή Κυψέλη </t>
  </si>
  <si>
    <t>M44 550 Ly</t>
  </si>
  <si>
    <t>M46 5.400 Ly</t>
  </si>
  <si>
    <t>Μ47. Ανοιχτό Σμήνος</t>
  </si>
  <si>
    <t>M47 1.600 Ly</t>
  </si>
  <si>
    <t>Μ48. Ανοιχτό Σμήνος</t>
  </si>
  <si>
    <t>M48 1.500 Ly</t>
  </si>
  <si>
    <t>M49 - 8,3 Γαλαξίας</t>
  </si>
  <si>
    <t>M49 56 Mly</t>
  </si>
  <si>
    <t>Μ50. Ανοιχτό Σμήνος</t>
  </si>
  <si>
    <t>M50 3.000 Ly</t>
  </si>
  <si>
    <t>M51 - 8,1 Γαλαξίας της δίνης</t>
  </si>
  <si>
    <t>M51 Whirlpool galaxy 23 Mly</t>
  </si>
  <si>
    <t>M53. Σφαιρωτό σμήνος</t>
  </si>
  <si>
    <t>M53 60.000 Ly</t>
  </si>
  <si>
    <t>M54. Σφαιρωτό σμήνος</t>
  </si>
  <si>
    <t>M54 87.500 Ly</t>
  </si>
  <si>
    <t>M55. Σφαιρωτό σμήνος</t>
  </si>
  <si>
    <t>M55 17.600 Ly</t>
  </si>
  <si>
    <t>Μ56. Σφαιρωτό σμήνος</t>
  </si>
  <si>
    <t>Μ56 32.900 Ly</t>
  </si>
  <si>
    <t xml:space="preserve">Μ57 Πλανητικό Νεφέλωμα Ευρυδίκη </t>
  </si>
  <si>
    <t>Δακτυλιοειδές. 2.300 LY</t>
  </si>
  <si>
    <t>M58- 9,6 Γαλαξίας</t>
  </si>
  <si>
    <t>M58 68 Mly</t>
  </si>
  <si>
    <t>M59- 9,7 Γαλαξίας</t>
  </si>
  <si>
    <t>M59 60 Mly</t>
  </si>
  <si>
    <t>M60- 8,8 Γαλαξίας</t>
  </si>
  <si>
    <t>M60 60 Mly</t>
  </si>
  <si>
    <t>M61- 9,3 Γαλαξίας</t>
  </si>
  <si>
    <t>M61 60 Mly</t>
  </si>
  <si>
    <t>M62. Σφαιρωτό σμήνος</t>
  </si>
  <si>
    <t>M62 22.500 Ly</t>
  </si>
  <si>
    <t>M63- 8,5 Γαλαξίας</t>
  </si>
  <si>
    <t>M63 27 Mly</t>
  </si>
  <si>
    <t>M64- 8,5 Γαλαξίας Μαύρο μάτι</t>
  </si>
  <si>
    <t>M64 Black Eye Galaxy 24 Mly</t>
  </si>
  <si>
    <t>M65- 9,2 Γαλαξίας</t>
  </si>
  <si>
    <t>M65 35 Mly</t>
  </si>
  <si>
    <t>M66- 8,9 Γαλαξίας</t>
  </si>
  <si>
    <t>M66 36 Mly</t>
  </si>
  <si>
    <t>Μ67. Ανοιχτό Σμήνος</t>
  </si>
  <si>
    <t>M67 2.610 Ly</t>
  </si>
  <si>
    <t>M68. Σφαιρωτό σμήνος</t>
  </si>
  <si>
    <t>M68 33.600 Ly</t>
  </si>
  <si>
    <t>M69. Σφαιρωτό σμήνος</t>
  </si>
  <si>
    <t>M69 29.700 Ly</t>
  </si>
  <si>
    <t>M70. Σφαιρωτό σμήνος</t>
  </si>
  <si>
    <t>M70 29.300 Ly</t>
  </si>
  <si>
    <t>Μ71. Σφαιρωτό σμήνος</t>
  </si>
  <si>
    <t>Μ71 13.000 Ly</t>
  </si>
  <si>
    <t>M72. Σφαιρωτό σμήνος</t>
  </si>
  <si>
    <t>M72 55.000 Ly</t>
  </si>
  <si>
    <t>M73 σχηματισμός 4 αστέρων</t>
  </si>
  <si>
    <t xml:space="preserve">M73 2.500 Λυ </t>
  </si>
  <si>
    <t>Μ74-9,1 Γαλαξίας</t>
  </si>
  <si>
    <t>Μ74 32 Mly</t>
  </si>
  <si>
    <t>M75. Σφαιρωτό σμήνος</t>
  </si>
  <si>
    <t>M75 67.500 Ly</t>
  </si>
  <si>
    <t xml:space="preserve">M76. Πλανητικό Νεφέλωμα μικρός αλτήρας </t>
  </si>
  <si>
    <t>Μ76  Little Dumbbell Nebula 2.500 Ly</t>
  </si>
  <si>
    <t>Μ77-8,9 Γαλαξίας</t>
  </si>
  <si>
    <t>M77 47 Mly</t>
  </si>
  <si>
    <t>Μ78 Νεφέλωμα Ανάκλασης</t>
  </si>
  <si>
    <t>M78 1.500 Ly</t>
  </si>
  <si>
    <t>Μ79 Σφαιρωτό Σμήνος</t>
  </si>
  <si>
    <t>Σμήνος 42.000 Mly</t>
  </si>
  <si>
    <t>M80. Σφαιρωτό σμήνος</t>
  </si>
  <si>
    <t>M80 32.600 Ly</t>
  </si>
  <si>
    <t>M81-7 Γαλαξίας</t>
  </si>
  <si>
    <t>M81 12 Mly</t>
  </si>
  <si>
    <t xml:space="preserve">M83-7,5 Γαλαξίας </t>
  </si>
  <si>
    <t>M83 15 Mly</t>
  </si>
  <si>
    <t>M84- 9,2 Γαλαξίας</t>
  </si>
  <si>
    <t>M84 60 Mly</t>
  </si>
  <si>
    <t>Μ85- 9,1 Γαλαξίας</t>
  </si>
  <si>
    <t xml:space="preserve">M84 60 Mly Pierre Mechain </t>
  </si>
  <si>
    <t>M86- 8,9 Γαλαξίας</t>
  </si>
  <si>
    <t>M86 60 Mly</t>
  </si>
  <si>
    <t>M87-8,6 Γαλαξίας</t>
  </si>
  <si>
    <t>M87 53,5 Miy</t>
  </si>
  <si>
    <t>M88- 9,4 Γαλαξίας</t>
  </si>
  <si>
    <t>M88 60 Miy</t>
  </si>
  <si>
    <t>M89- 9,9 Γαλαξίας</t>
  </si>
  <si>
    <t>M89 50 Miy</t>
  </si>
  <si>
    <t>M90- 9,4 Γαλαξίας</t>
  </si>
  <si>
    <t>M90 60 Miy</t>
  </si>
  <si>
    <t>M91- 10 Γαλαξίας</t>
  </si>
  <si>
    <t>M91 55 Miy</t>
  </si>
  <si>
    <t>M92. Σφαιρωτό σμήνος</t>
  </si>
  <si>
    <t>M92 26.700 Ly</t>
  </si>
  <si>
    <t>Μ93. Ανοιχτό Σμήνος</t>
  </si>
  <si>
    <t>M93 3.600</t>
  </si>
  <si>
    <t>M94-8,1 Γαλαξίας</t>
  </si>
  <si>
    <t>M94 16 Mly</t>
  </si>
  <si>
    <t>M95-9,8 Γαλαξίας</t>
  </si>
  <si>
    <t>M95 38 Mly</t>
  </si>
  <si>
    <t>M96-9,3 Γαλαξίας</t>
  </si>
  <si>
    <t>M 96 35 Mly</t>
  </si>
  <si>
    <t>M97 Πλανητικό Νεφέλωμα Κουκουβάγια</t>
  </si>
  <si>
    <t xml:space="preserve">Μ97 Pierre François André Méchain 2.030 Ly </t>
  </si>
  <si>
    <t>M98-10,1 Γαλαξίας</t>
  </si>
  <si>
    <t>M98 44,4 Mly</t>
  </si>
  <si>
    <t>M99-10,2 Γαλαξίας</t>
  </si>
  <si>
    <t>M99 Pierre Mechain  55,7 Mly</t>
  </si>
  <si>
    <t>μ 100</t>
  </si>
  <si>
    <t>M100- 9,3 Γαλαξίας</t>
  </si>
  <si>
    <t>M100 52,5 Mly</t>
  </si>
  <si>
    <t>μ 101</t>
  </si>
  <si>
    <t>M101-7,5 Γαλαξίας</t>
  </si>
  <si>
    <t>M101 27 Mly</t>
  </si>
  <si>
    <t>μ 102</t>
  </si>
  <si>
    <t>M102-10,7 Γαλαξίας</t>
  </si>
  <si>
    <t>M102 Pierre Mechain 50 Mly</t>
  </si>
  <si>
    <t>μ 103</t>
  </si>
  <si>
    <t xml:space="preserve">Μ103. Ανοιχτό Σμήνος Κουκουβάγια </t>
  </si>
  <si>
    <t xml:space="preserve"> M103 9.000 Ly</t>
  </si>
  <si>
    <t>μ 104</t>
  </si>
  <si>
    <t>M104- 8,3 Γαλαξίας Σομπρέρο</t>
  </si>
  <si>
    <t>M104 Sombrero Galaxy 31 Mly</t>
  </si>
  <si>
    <t>μ 105</t>
  </si>
  <si>
    <t>M105- 9,5 Γαλαξίας</t>
  </si>
  <si>
    <t>M105 32 Mly</t>
  </si>
  <si>
    <t>μ 106</t>
  </si>
  <si>
    <t>M106- 8,3 Γαλαξία</t>
  </si>
  <si>
    <t>M106 Pierre Mechain 23,5 Mly</t>
  </si>
  <si>
    <t>μ 107</t>
  </si>
  <si>
    <t>M107. Σφαιρωτό σμήνος</t>
  </si>
  <si>
    <t>M107 20.900 Ly</t>
  </si>
  <si>
    <t>μ 108</t>
  </si>
  <si>
    <t>M108- 9,5 Γαλαξίας</t>
  </si>
  <si>
    <t>M108 Pierre Mechain 50 Mly</t>
  </si>
  <si>
    <t>μ 109</t>
  </si>
  <si>
    <t>M109- 9,8 Γαλαξίας</t>
  </si>
  <si>
    <t>M109 Pierre Mechain 83 Mly</t>
  </si>
  <si>
    <t>Μικροσκοπίου</t>
  </si>
  <si>
    <t>Μονόκερου</t>
  </si>
  <si>
    <t>Monoceros</t>
  </si>
  <si>
    <t>α Μονόκερου</t>
  </si>
  <si>
    <t>α Monoceros</t>
  </si>
  <si>
    <t>β Μονόκερου.Τριπλός</t>
  </si>
  <si>
    <t>β Monoceros.Τριπλός</t>
  </si>
  <si>
    <t>γ Μονόκερου</t>
  </si>
  <si>
    <t>γ Monoceros</t>
  </si>
  <si>
    <t>δ Μονόκερου</t>
  </si>
  <si>
    <t>δ Monoceros</t>
  </si>
  <si>
    <t>ε Μονόκερου. Διπλός</t>
  </si>
  <si>
    <t>ε Monoceros. Διπλός</t>
  </si>
  <si>
    <t>ζ Μονόκερου</t>
  </si>
  <si>
    <t>ζ Monoceros</t>
  </si>
  <si>
    <t xml:space="preserve">    NGC</t>
  </si>
  <si>
    <t xml:space="preserve">NGC 40. Πλανητικό Νεφέλωμα </t>
  </si>
  <si>
    <t>William Herschel</t>
  </si>
  <si>
    <t xml:space="preserve">NGC 128-11,8 Γαλαξίας  </t>
  </si>
  <si>
    <t xml:space="preserve">253 Mly William Herschel </t>
  </si>
  <si>
    <t xml:space="preserve">NGC 134-10,5 Γαλαξίας  </t>
  </si>
  <si>
    <t xml:space="preserve">60 Μly James Dunlop </t>
  </si>
  <si>
    <t xml:space="preserve">NGC 147-9,4 Γαλαξίας  </t>
  </si>
  <si>
    <t>2,58 Mly John Herschel</t>
  </si>
  <si>
    <t>NGC 157-10,4 Γαλαξίας</t>
  </si>
  <si>
    <t>76,3 Mly William Herschel</t>
  </si>
  <si>
    <t xml:space="preserve">NGC 185-9,3 Γαλαξίας  </t>
  </si>
  <si>
    <t>2 Mly William Herschel</t>
  </si>
  <si>
    <t>NGC 246 . Πλανητικό Νεφέλωμα του κρανίου</t>
  </si>
  <si>
    <t>NGC 247-8,9 Γαλαξίας</t>
  </si>
  <si>
    <t xml:space="preserve">11,1 Mly </t>
  </si>
  <si>
    <t>NGC 253-7,3 Γαλαξίας</t>
  </si>
  <si>
    <t xml:space="preserve">11,4 Mly Caroline Herschel </t>
  </si>
  <si>
    <t>NGC 278-10,7 Γαλαξίας</t>
  </si>
  <si>
    <t xml:space="preserve">38,5 Mly </t>
  </si>
  <si>
    <t>NGC 281 σμήνος + Νεφέλωμα</t>
  </si>
  <si>
    <t>Barnard</t>
  </si>
  <si>
    <t>NGC 288. Σφαιρωτό σμήνος</t>
  </si>
  <si>
    <t>Johan Ludvig Emil Dreyer</t>
  </si>
  <si>
    <t>NGC 404-10 Γαλαξίας</t>
  </si>
  <si>
    <t xml:space="preserve">10 Mly  William Herschel </t>
  </si>
  <si>
    <t>NGC 457. Ανοιχτό Σμήνος κουκουβάγια</t>
  </si>
  <si>
    <t xml:space="preserve">NGC 488-10,4 Γαλαξίας </t>
  </si>
  <si>
    <t>90 Mly William Herschel</t>
  </si>
  <si>
    <t>NGC 524-10,4 Γαλαξίας</t>
  </si>
  <si>
    <t>NGC 584-10,5 Γαλαξίας</t>
  </si>
  <si>
    <t>76,4 Mly William Herschel</t>
  </si>
  <si>
    <t xml:space="preserve">NGC 660-10,7 Γαλαξίας  </t>
  </si>
  <si>
    <t xml:space="preserve">45 Mly </t>
  </si>
  <si>
    <t>NGC 663 Ανοιχτό Σμήνος</t>
  </si>
  <si>
    <t>NGC 720-10,2 Γαλαξίας</t>
  </si>
  <si>
    <t>80 Mly William Herschel</t>
  </si>
  <si>
    <t>NGC 752 ανοιχτό σμήνος</t>
  </si>
  <si>
    <t>Caroline Herschel</t>
  </si>
  <si>
    <t>NGC 772-10,3 Γαλαξίας</t>
  </si>
  <si>
    <t>130 Mly  William Herschel</t>
  </si>
  <si>
    <t>NGC 812 -11,6 Γαλαξίας</t>
  </si>
  <si>
    <t>Edouard Jean-Marie Stephan</t>
  </si>
  <si>
    <t>NGC 869 Ανοιχτό Σμήνος</t>
  </si>
  <si>
    <t>Double Cluster</t>
  </si>
  <si>
    <t>NGC 884 Ανοιχτό Σμήνος</t>
  </si>
  <si>
    <t>NGC 890 -11,3 Γαλαξίας</t>
  </si>
  <si>
    <t>121 Mly  William Herschel</t>
  </si>
  <si>
    <t>NGC 891 -10,1 Γαλαξίας</t>
  </si>
  <si>
    <t>30 Mly  William Herschel</t>
  </si>
  <si>
    <t>NGC 908-10,2 Γαλαξίας</t>
  </si>
  <si>
    <t>60 Mly  William Herschel</t>
  </si>
  <si>
    <t>NGC 925-9,9 Γαλαξίας</t>
  </si>
  <si>
    <t xml:space="preserve">30 Mly </t>
  </si>
  <si>
    <t>NGC 936-10,2 Γαλαξίας</t>
  </si>
  <si>
    <t>67 Mly  William Herschel</t>
  </si>
  <si>
    <t>NGC 988-11 Γαλαξίας</t>
  </si>
  <si>
    <t>56 Mly Edouard Jean-Marie Stephan</t>
  </si>
  <si>
    <t>NGC 1023-9,5 Γαλαξίας</t>
  </si>
  <si>
    <t xml:space="preserve">60 Mly </t>
  </si>
  <si>
    <t>NGC 1042-11 Γαλαξίας</t>
  </si>
  <si>
    <t>NGC 1052-10,5 Γαλαξίας</t>
  </si>
  <si>
    <t>NGC 1055-10,6 Γαλαξίας</t>
  </si>
  <si>
    <t xml:space="preserve">52 Mly  William Herschel </t>
  </si>
  <si>
    <t>NGC 1084-10,7 Γαλαξίας</t>
  </si>
  <si>
    <t>NGC 1087-10,8 Γαλαξίας</t>
  </si>
  <si>
    <t xml:space="preserve">80 Mly </t>
  </si>
  <si>
    <t>NGC 1090-11,8 Γαλαξίας</t>
  </si>
  <si>
    <t xml:space="preserve">124 Mly </t>
  </si>
  <si>
    <t>NGC 1232-10,3 Γαλαξίας</t>
  </si>
  <si>
    <t xml:space="preserve">70 Mly </t>
  </si>
  <si>
    <t>NGC 1297-11,8 Γαλαξίας</t>
  </si>
  <si>
    <t xml:space="preserve">72 Mly Edward Emerson Barnard </t>
  </si>
  <si>
    <t>NGC 1300-10,3 Γαλαξίας</t>
  </si>
  <si>
    <t>75 Mly John Herschel</t>
  </si>
  <si>
    <t>NGC 1332-10,3 Γαλαξίας</t>
  </si>
  <si>
    <t xml:space="preserve">  William Herschel</t>
  </si>
  <si>
    <t>NGC 1400-11 Γαλαξίας</t>
  </si>
  <si>
    <t>64 Mly  William Herschel</t>
  </si>
  <si>
    <t>NGC 1407-9,7 Γαλαξίας</t>
  </si>
  <si>
    <t>75 Mly  William Herschel</t>
  </si>
  <si>
    <t>NGC 1499 Καλιφόρνια</t>
  </si>
  <si>
    <t>Νεφέλωμα εκπομπής</t>
  </si>
  <si>
    <t>NGC 1501 Πλανητικό Νεφέλωμα</t>
  </si>
  <si>
    <t xml:space="preserve"> William Herschel</t>
  </si>
  <si>
    <t>NGC 1514 Πλανητικό Νεφέλωμα</t>
  </si>
  <si>
    <t xml:space="preserve">NGC 1535 Πλανητικό Νεφέλωμα   </t>
  </si>
  <si>
    <t>Το μάτι της Κλεοπάτρας William Herschel</t>
  </si>
  <si>
    <t>NGC 1600-11 Γαλαξίας</t>
  </si>
  <si>
    <t xml:space="preserve">200 Mly </t>
  </si>
  <si>
    <t>NGC 1637-10,8 Γαλαξίας</t>
  </si>
  <si>
    <t>30 Mly</t>
  </si>
  <si>
    <t>NGC 1647 Ανοιχτό Σμήνος</t>
  </si>
  <si>
    <t>NGC 1662 Ανοιχτό Σμήνος</t>
  </si>
  <si>
    <t>NGC 1857 Ανοιχτό Σμήνος</t>
  </si>
  <si>
    <t>NGC 1907 Ανοιχτό Σμήνος</t>
  </si>
  <si>
    <t>4.500 Ly</t>
  </si>
  <si>
    <t>NGC 1407-10,8 Γαλαξίας</t>
  </si>
  <si>
    <t>50 Mly  William Herschel</t>
  </si>
  <si>
    <t>NGC 2022 Πλανητικό Νεφέλωμα</t>
  </si>
  <si>
    <t>NGC 2071 Νεφέλωμα Ανάκλασης</t>
  </si>
  <si>
    <t>NGC 2196-11 Γαλαξίας</t>
  </si>
  <si>
    <t>NGC 2232</t>
  </si>
  <si>
    <t>Ανοιχτό Σμήνος</t>
  </si>
  <si>
    <t>NGC 2239 William Herschel</t>
  </si>
  <si>
    <t>Ανοιχτό Σμήνος+ Νεφέλωμα Ροζέτα</t>
  </si>
  <si>
    <t>NGC 2264</t>
  </si>
  <si>
    <t>Ανοιχτό Σμήνος+ νεφέλωμα</t>
  </si>
  <si>
    <t>NGC 2276-11,3 Γαλαξίας</t>
  </si>
  <si>
    <t>Friedrich August Theodor Winnecke</t>
  </si>
  <si>
    <t>NGC 2300-11,1 Γαλαξίας</t>
  </si>
  <si>
    <t>120 Μly Friedrich August Theodor Winnecke</t>
  </si>
  <si>
    <t xml:space="preserve">NGC 2336-10,3 Γαλαξίας </t>
  </si>
  <si>
    <t xml:space="preserve">Ernst Wilhelm Leberecht Tempel </t>
  </si>
  <si>
    <t>NGC 2371-2372 Πλανητικό Νεφέλωμα</t>
  </si>
  <si>
    <t>NGC 2392 Πλανητικό Νεφέλωμα</t>
  </si>
  <si>
    <t xml:space="preserve"> Εσκιμώος William Herschel</t>
  </si>
  <si>
    <t>NGC 2403-8,2 Γαλαξίας</t>
  </si>
  <si>
    <t>8 Mly William Herschel</t>
  </si>
  <si>
    <t>NGC 2438 Πλανητικό Νεφέλωμα</t>
  </si>
  <si>
    <t>NGC 2613-10,5 Γαλαξίας</t>
  </si>
  <si>
    <t>NGC 2683-9,7 Γαλαξίας</t>
  </si>
  <si>
    <t>25 Mly William Herschel</t>
  </si>
  <si>
    <t>NGC 2768-9,9 Γαλαξίας</t>
  </si>
  <si>
    <t>65 Mly</t>
  </si>
  <si>
    <t>NGC 2841-9,3 Γαλαξίας</t>
  </si>
  <si>
    <t>46 Mly William Herschel</t>
  </si>
  <si>
    <t>NGC 2903-8,8 Γαλαξίας</t>
  </si>
  <si>
    <t>30 Mly Herschel</t>
  </si>
  <si>
    <t>NGC 2976 -10,1 Γαλαξίας</t>
  </si>
  <si>
    <t>NGC 2997 -9,5 Γαλαξίας</t>
  </si>
  <si>
    <t xml:space="preserve">40 Mly  William Herschel </t>
  </si>
  <si>
    <t>NGC 3077-10 Γαλαξίας</t>
  </si>
  <si>
    <t xml:space="preserve">13 Mly William Herschel </t>
  </si>
  <si>
    <t>NGC 3109-6,9 Γαλαξίας</t>
  </si>
  <si>
    <t xml:space="preserve">Mly John Herschel </t>
  </si>
  <si>
    <t>NGC 3115-9,1 Γαλαξίας</t>
  </si>
  <si>
    <t xml:space="preserve">32 Mly William Herschel </t>
  </si>
  <si>
    <t>NGC 3166-10,5 Γαλαξίας</t>
  </si>
  <si>
    <t xml:space="preserve">75 Mly William Herschel </t>
  </si>
  <si>
    <t>NGC 3169-10,3 Γαλαξίας</t>
  </si>
  <si>
    <t>NGC 3184-9,6 Γαλαξίας</t>
  </si>
  <si>
    <t xml:space="preserve">40 Mly William Herschel </t>
  </si>
  <si>
    <t>NGC 3185-12 Γαλαξίας</t>
  </si>
  <si>
    <t>William Parsons</t>
  </si>
  <si>
    <t>NGC 3190-11 Γαλαξίας</t>
  </si>
  <si>
    <t>80 Mly  William Herschel</t>
  </si>
  <si>
    <t>NGC 3193-11 Γαλαξίας</t>
  </si>
  <si>
    <t xml:space="preserve">80 Mly William Herschel </t>
  </si>
  <si>
    <t xml:space="preserve">NGC 3198-9,8 Γαλαξίας </t>
  </si>
  <si>
    <t>47 Mly William Parsons</t>
  </si>
  <si>
    <t>NGC 3227-10,4 Γαλαξίας</t>
  </si>
  <si>
    <t xml:space="preserve">77 Mly William Herschel </t>
  </si>
  <si>
    <t>NGC 3239-11,1 Γαλαξίας</t>
  </si>
  <si>
    <t>35 Mly William Herschel</t>
  </si>
  <si>
    <t>NGC 3242 Πλανητικό νεφέλωμα</t>
  </si>
  <si>
    <t>William Herschel. Το φάντασμα του Δία</t>
  </si>
  <si>
    <t>NGC 3319- 10,8 Γαλαξίας</t>
  </si>
  <si>
    <t>Γαλαξίας</t>
  </si>
  <si>
    <t>NGC 3338-10,9 Γαλαξίας</t>
  </si>
  <si>
    <t>80,8 Mly William Herschel</t>
  </si>
  <si>
    <t>NGC 3344-9,7 Γαλαξίας</t>
  </si>
  <si>
    <t>22,5 Mly</t>
  </si>
  <si>
    <t>NGC 3371ή3384 -10,9 Γαλαξίας</t>
  </si>
  <si>
    <t>NGC 3377-10,2 Γαλαξίας</t>
  </si>
  <si>
    <t xml:space="preserve">26 Mly </t>
  </si>
  <si>
    <t>NGC 3312-10,4 Γαλαξίας</t>
  </si>
  <si>
    <t>NGC 3414-10 Γαλαξίας</t>
  </si>
  <si>
    <t>NGC 3486-10,3 Γαλαξίας</t>
  </si>
  <si>
    <t>27,4 Mly</t>
  </si>
  <si>
    <t>NGC 3489-10,2 Γαλαξίας</t>
  </si>
  <si>
    <t>NGC 3504-10,9 Γαλαξίας</t>
  </si>
  <si>
    <t>NGC 3521-9,2 Γαλαξίας</t>
  </si>
  <si>
    <t>30 Mly William Herschel</t>
  </si>
  <si>
    <t>NGC 3593-11 Γαλαξίας</t>
  </si>
  <si>
    <t>20,5 Mly</t>
  </si>
  <si>
    <t>NGC 3607-9,9 Γαλαξίας</t>
  </si>
  <si>
    <t>69,7 Mly William Herschel</t>
  </si>
  <si>
    <t>NGC 3608-10,7 Γαλαξίας</t>
  </si>
  <si>
    <t>NGC 3621-9,5 Γαλαξίας</t>
  </si>
  <si>
    <t>22 Mly</t>
  </si>
  <si>
    <t>NGC 3626-10,9 Γαλαξίας</t>
  </si>
  <si>
    <t>70 Mly William Herschel</t>
  </si>
  <si>
    <t>NGC 3628-9,6 Γαλαξίας</t>
  </si>
  <si>
    <t xml:space="preserve">40 Mly </t>
  </si>
  <si>
    <t>NGC 3640-10,3 Γαλαξίας</t>
  </si>
  <si>
    <t>NGC 3646-10,8 Γαλαξίας</t>
  </si>
  <si>
    <t>NGC 3675-10 Γαλαξίας</t>
  </si>
  <si>
    <t>NGC 3718- 10 Γαλαξίας</t>
  </si>
  <si>
    <t xml:space="preserve">52 Mly    </t>
  </si>
  <si>
    <t>NGC 3810-10,6 Γαλαξίας</t>
  </si>
  <si>
    <t>55 Mly William Herschel</t>
  </si>
  <si>
    <t>NGC 3842-11,8 Γαλαξίας</t>
  </si>
  <si>
    <t>92 Mly William Herschel</t>
  </si>
  <si>
    <t>NGC 3923-9,6 Γαλαξίας</t>
  </si>
  <si>
    <t>331 Mly William Herschel</t>
  </si>
  <si>
    <t>NGC 3941-10,3 Γαλαξίας</t>
  </si>
  <si>
    <t>40 Mly William Herschel</t>
  </si>
  <si>
    <t>NGC 4038- 10,3 Γαλαξίας Κεραίες</t>
  </si>
  <si>
    <t>65 Mly William Herschel</t>
  </si>
  <si>
    <t>NGC 4039- 10,5 Γαλαξίας Κεραίες</t>
  </si>
  <si>
    <t>NGC 4125- 9,6 Γαλαξίας</t>
  </si>
  <si>
    <t>79,6 Mly</t>
  </si>
  <si>
    <t>NGC 4151 10,8Γαλαξίας</t>
  </si>
  <si>
    <t>62 Mly William Herschel</t>
  </si>
  <si>
    <t>NGC 4214-10,2 Γαλαξίας</t>
  </si>
  <si>
    <t>10 Mly</t>
  </si>
  <si>
    <t>NGC 4236- 10,1 Γαλαξίας</t>
  </si>
  <si>
    <t>11,7 Mly</t>
  </si>
  <si>
    <t>NGC 4244- 10 Γαλαξίας</t>
  </si>
  <si>
    <t>14 Mly</t>
  </si>
  <si>
    <t>NGC 4365-9,6 Γαλαξίας</t>
  </si>
  <si>
    <t>71 Mly William Herschel</t>
  </si>
  <si>
    <t>NGC 4438-10 Γαλαξίας</t>
  </si>
  <si>
    <t>52 Mly</t>
  </si>
  <si>
    <t>NGC 4449- 10 Γαλαξίας</t>
  </si>
  <si>
    <t>12 Mly</t>
  </si>
  <si>
    <t>139 Mly John Herschel</t>
  </si>
  <si>
    <t>NGC 4494- 9,7 Γαλαξίας</t>
  </si>
  <si>
    <t>NGC 4526- 9,7 Γαλαξίας</t>
  </si>
  <si>
    <t>NGC 4559- 9,6 Γαλαξίας</t>
  </si>
  <si>
    <t>NGC 4565- 9,5 Γαλαξίας</t>
  </si>
  <si>
    <t>39 Mly William Herschel</t>
  </si>
  <si>
    <t>NGC 4589- 10,7 Γαλαξίας</t>
  </si>
  <si>
    <t>99 Mly</t>
  </si>
  <si>
    <t>NGC 4605- 10,1 Γαλαξίας</t>
  </si>
  <si>
    <t xml:space="preserve">13 Mly    </t>
  </si>
  <si>
    <t>NGC 4618- 10,6 Γαλαξίας</t>
  </si>
  <si>
    <t>NGC 4631- 9 Γαλαξίας</t>
  </si>
  <si>
    <t>20 Miy William Herschel</t>
  </si>
  <si>
    <t>NGC 4636- 9,4 Γαλαξίας</t>
  </si>
  <si>
    <t>57 Miy William Herschel</t>
  </si>
  <si>
    <t>NGC 4656- 10,1 Γαλαξίας</t>
  </si>
  <si>
    <t>NGC 4697- 9,2 Γαλαξίας</t>
  </si>
  <si>
    <t>40 Mly</t>
  </si>
  <si>
    <t>NGC 4699- 9,6 Γαλαξίας</t>
  </si>
  <si>
    <t>NGC 4725- 9,3 Γαλαξίας</t>
  </si>
  <si>
    <t>NGC 4753- 9,7 Γαλαξίας</t>
  </si>
  <si>
    <t>NGC 4762- 10,1 Γαλαξίας</t>
  </si>
  <si>
    <t>58 Mly</t>
  </si>
  <si>
    <t>NGC 5005- 9,8 Γαλαξίας</t>
  </si>
  <si>
    <t>NGC 5033- 10 Γαλαξίας</t>
  </si>
  <si>
    <t>NGC 5033 Σφαιρωτό Σμήνος</t>
  </si>
  <si>
    <t>55.000 Ly William Herschel</t>
  </si>
  <si>
    <t>NGC 5102- 9,5 Γαλαξίας</t>
  </si>
  <si>
    <t>12 Mly John Herschel</t>
  </si>
  <si>
    <t>NGC 5248-10,5 Γαλαξίας</t>
  </si>
  <si>
    <t>59 Mly</t>
  </si>
  <si>
    <t>NGC 5253-10,1 Γαλαξίας</t>
  </si>
  <si>
    <t>10,9 Mly John Herschel</t>
  </si>
  <si>
    <t>NGC 5350- 11,6 Γαλαξίας</t>
  </si>
  <si>
    <t xml:space="preserve"> William Herschel </t>
  </si>
  <si>
    <t>NGC 5353- 11 Γαλαξίας</t>
  </si>
  <si>
    <t xml:space="preserve">110 Mly William Herschel </t>
  </si>
  <si>
    <t>NGC 5363-10,5 Γαλαξίας</t>
  </si>
  <si>
    <t xml:space="preserve">54,5 Mly William Herschel </t>
  </si>
  <si>
    <t>NGC 5364-10,4 Γαλαξίας</t>
  </si>
  <si>
    <t>NGC 5371- 10,5 Γαλαξίας</t>
  </si>
  <si>
    <t>100 Mly</t>
  </si>
  <si>
    <t>NGC 5466  Σφαιρωτό σμήνος</t>
  </si>
  <si>
    <t>NGC 5474- 10,6 Γαλαξίας</t>
  </si>
  <si>
    <t>Σύντροφος του Μ101</t>
  </si>
  <si>
    <t>NGC 5566-10,7 Γαλαξίας</t>
  </si>
  <si>
    <t>65 Mly Herschel</t>
  </si>
  <si>
    <t xml:space="preserve">NGC 5634 Σφαιρωτό σμήνος </t>
  </si>
  <si>
    <t>82.000 Ly</t>
  </si>
  <si>
    <t xml:space="preserve">NGC 5694 Σφαιρωτό σμήνος  </t>
  </si>
  <si>
    <t>114.000 Ly William Herschel</t>
  </si>
  <si>
    <t>NGC 5746-10,7 Γαλαξίας</t>
  </si>
  <si>
    <t>95 Mly</t>
  </si>
  <si>
    <t>NGC 5813-10,5 Γαλαξίας</t>
  </si>
  <si>
    <t>105 Mly  William Herschel</t>
  </si>
  <si>
    <t xml:space="preserve">NGC 5824 Σφαιρωτό σμήνος </t>
  </si>
  <si>
    <t>James Dunlop</t>
  </si>
  <si>
    <t>NGC 5846-10,1 Γαλαξίας</t>
  </si>
  <si>
    <t>NGC 5850-10,8 Γαλαξίας</t>
  </si>
  <si>
    <t>NGC 5866- 9,9 Γαλαξίας Αδράχτι</t>
  </si>
  <si>
    <t>NGC 5866 ή Μ102</t>
  </si>
  <si>
    <t xml:space="preserve">NGC 5846 Σφαιρωτό σμήνοςLy 40.000      </t>
  </si>
  <si>
    <t xml:space="preserve"> 40.000 Ly</t>
  </si>
  <si>
    <t>NGC 5907- 10,4 Γαλαξίας Μαχαίρι</t>
  </si>
  <si>
    <t>NGC 5982- 11 Γαλαξίας</t>
  </si>
  <si>
    <t>NGC 5985-11,1 Γαλαξίας</t>
  </si>
  <si>
    <t xml:space="preserve">NGC 5985 140 Mly William Herschel </t>
  </si>
  <si>
    <t>NGC 6181-11,8 Γαλαξίας</t>
  </si>
  <si>
    <t xml:space="preserve">NGC 6181 107 MlY William Herschel </t>
  </si>
  <si>
    <t>NGC 6207-11,4 Γαλαξίας</t>
  </si>
  <si>
    <t>60 Mly</t>
  </si>
  <si>
    <t>NGC 6210 Πλανητικό Νεφέλωμα</t>
  </si>
  <si>
    <t>Friedrich Georg Wilhelm von Struve</t>
  </si>
  <si>
    <t>NGC 6229 Σφαιρωτό σμήνος</t>
  </si>
  <si>
    <t xml:space="preserve">100.000 Ly William Herschel </t>
  </si>
  <si>
    <t>NGC 6293 Σφαιρωτό σμήνος</t>
  </si>
  <si>
    <t>28.700 Ly Lewis A. Swift</t>
  </si>
  <si>
    <t>NGC 6302 Πλανητικό Νεφέλωμα Πεταλούδα</t>
  </si>
  <si>
    <t>Butterfly Nebula</t>
  </si>
  <si>
    <t>NGC 6304 Σφαιρωτό σμήνος</t>
  </si>
  <si>
    <t xml:space="preserve">19.000 Ly William Herschel </t>
  </si>
  <si>
    <t>NGC 6309 Πλανητικό Νεφέλωμα</t>
  </si>
  <si>
    <t>Wilhelm Tempel</t>
  </si>
  <si>
    <t>NGC 6316 Σφαιρωτό σμήνος</t>
  </si>
  <si>
    <t>35.000 Ly William Herschel</t>
  </si>
  <si>
    <t>NGC 6356 Σφαιρωτό σμήνος</t>
  </si>
  <si>
    <t xml:space="preserve">49.600 Ly William Herschel </t>
  </si>
  <si>
    <t>NGC 6366 Σφαιρωτό σμήνος</t>
  </si>
  <si>
    <t>11.700 Ly</t>
  </si>
  <si>
    <t>NGC 6369 Πλανητικό Νεφέλωμα Μικρό φάντασμα</t>
  </si>
  <si>
    <t>Little Ghost Nebula William Herschel</t>
  </si>
  <si>
    <t>NGC 6374 Ανοιχτό Σμήνος</t>
  </si>
  <si>
    <t xml:space="preserve"> John Herschel</t>
  </si>
  <si>
    <t>NGC 6383 Ανοιχτό Σμήνος</t>
  </si>
  <si>
    <t>NGC 6384-10,4 Γαλαξίας</t>
  </si>
  <si>
    <t xml:space="preserve">77 Mly </t>
  </si>
  <si>
    <t>NGC 6503-10,2 Γαλαξίας</t>
  </si>
  <si>
    <t>18 Mly</t>
  </si>
  <si>
    <t>NGC 6539 Σφαιρωτό σμήνος</t>
  </si>
  <si>
    <t>25.400 Ly Theodor Brorsen</t>
  </si>
  <si>
    <t>NGC 6543 Πλανητικό Νεφέλωμα Μάτι της γάτας</t>
  </si>
  <si>
    <t>Το νεφέλωμα του πόλου της εκλειπτικής ή Cat's Eye Nebula   Herschel</t>
  </si>
  <si>
    <t>NGC 6572 Πλανητικό Νεφέλωμα</t>
  </si>
  <si>
    <t>NGC 6624 Σφαιρωτό σμήνος</t>
  </si>
  <si>
    <t>25.800 Ly William Herschel</t>
  </si>
  <si>
    <t>NGC 6652 Σφαιρωτό σμήνος</t>
  </si>
  <si>
    <t xml:space="preserve">10.100 Ly </t>
  </si>
  <si>
    <t>NGC 6712 Σφαιρωτό σμήνος</t>
  </si>
  <si>
    <t>22.500 Ly William Herschel</t>
  </si>
  <si>
    <t>NGC 6755 Ανοιχτό Σμήνος</t>
  </si>
  <si>
    <t>4.632 Ly</t>
  </si>
  <si>
    <t>NGC 6760 Σφαιρωτό σμήνος</t>
  </si>
  <si>
    <t>NGC 6781 Πλανητικό Νεφέλωμα</t>
  </si>
  <si>
    <t>NGC 6790 Πλανητικό Νεφέλωμα</t>
  </si>
  <si>
    <t>NGC 6791 Ανοιχτό Σμήνος</t>
  </si>
  <si>
    <t>13.300 Ly</t>
  </si>
  <si>
    <t>NGC 6818 Πλανητικό Νεφέλωμα</t>
  </si>
  <si>
    <t xml:space="preserve"> Litle Gem William Herschel</t>
  </si>
  <si>
    <t>NGC 6822-9,3 Γαλαξίας</t>
  </si>
  <si>
    <t xml:space="preserve"> 1,6 Mly Barnard</t>
  </si>
  <si>
    <t>NGC 6826 Πλανητικό Νεφέλωμα Που βλεφαρίζει</t>
  </si>
  <si>
    <t>"blinking planetary" William Herschel</t>
  </si>
  <si>
    <t>NGC 6884 Πλανητικό Νεφέλωμα</t>
  </si>
  <si>
    <t>Μικρό αλλά φωτεινό</t>
  </si>
  <si>
    <t>NGC 6885 Ανοιχτό Σμήνος</t>
  </si>
  <si>
    <t>NGC 6885</t>
  </si>
  <si>
    <t>NGC 6886 Πλανητικό Νεφέλωμα</t>
  </si>
  <si>
    <t>Ralph Copeland</t>
  </si>
  <si>
    <t>NGC 6891 Πλανητικό Νεφέλωμα</t>
  </si>
  <si>
    <t>NGC 6905 Πλανητικό Νεφέλωμα Γαλάζια λάμψη</t>
  </si>
  <si>
    <t>Blue Flash Nebula William Herschel</t>
  </si>
  <si>
    <t>NGC 6936 Ανοιχτό Σμήνος</t>
  </si>
  <si>
    <t>5.000 Ly William Herschel</t>
  </si>
  <si>
    <t xml:space="preserve">NGC 6946- 9 Γαλαξίας των πυροτεχνημάτων </t>
  </si>
  <si>
    <t xml:space="preserve"> 20 Mly Fireworks Galaxy William Herschel</t>
  </si>
  <si>
    <t>NGC 7008 Πλανητικό Νεφέλωμα</t>
  </si>
  <si>
    <t>NGC 7009 Πλανητικό Νεφέλωμα Κρόνος</t>
  </si>
  <si>
    <t>Saturn Nebula William Herschel</t>
  </si>
  <si>
    <t>NGC 7026 Πλανητικό Νεφέλωμα</t>
  </si>
  <si>
    <t xml:space="preserve"> </t>
  </si>
  <si>
    <t>NGC 7027 Πλανητικό Νεφέλωμα</t>
  </si>
  <si>
    <t xml:space="preserve">Édouard Jean-Marie Stephan </t>
  </si>
  <si>
    <t>NGC 7217-10,5 Γαλαξίας</t>
  </si>
  <si>
    <t xml:space="preserve"> 50 Mly Herschel</t>
  </si>
  <si>
    <t>NGC 7252- 11,1 Γαλαξίας Το άτομο της ειρήνης</t>
  </si>
  <si>
    <t>220 Mly !!! Atoms for Peace galaxy</t>
  </si>
  <si>
    <t>NGC 7293 Πλανητικό Νεφέλωμα Έλικας</t>
  </si>
  <si>
    <t>Karl Ludwig Harding</t>
  </si>
  <si>
    <t>NGC 7314- 10,8 Γαλαξίας</t>
  </si>
  <si>
    <t>NGC 7314</t>
  </si>
  <si>
    <t>NGC 7331-9,5 Γαλαξίας</t>
  </si>
  <si>
    <t xml:space="preserve"> 45 Mly Herschel</t>
  </si>
  <si>
    <t>NGC 7332- 11Γαλαξίας</t>
  </si>
  <si>
    <t>67 Μly</t>
  </si>
  <si>
    <t>NGC 7377- 11Γαλαξίας</t>
  </si>
  <si>
    <t>155 Mly William Herschel</t>
  </si>
  <si>
    <t xml:space="preserve">NGC 7448- 11Γαλαξία </t>
  </si>
  <si>
    <t xml:space="preserve">NGC 7454- 11,8 Γαλαξίας </t>
  </si>
  <si>
    <t>93 Miy John Herschel</t>
  </si>
  <si>
    <t xml:space="preserve">NGC 7457-11 Γαλαξίας </t>
  </si>
  <si>
    <t>John Herschel</t>
  </si>
  <si>
    <t xml:space="preserve">NGC 7479-10,9 Γαλαξίας </t>
  </si>
  <si>
    <t>109 Mly John Herschel</t>
  </si>
  <si>
    <t>NGC 7507-10,4Γαλαξίας</t>
  </si>
  <si>
    <t xml:space="preserve"> 72 Mly William Herschel</t>
  </si>
  <si>
    <t>NGC 7606-10,8 Γαλαξίας</t>
  </si>
  <si>
    <t xml:space="preserve"> 103 Mly William Herschel</t>
  </si>
  <si>
    <t>NGC 7619 -11 Γαλαξίας</t>
  </si>
  <si>
    <t>148 Mly William Herschel</t>
  </si>
  <si>
    <t>NGC 7626 -11Γαλαξίας</t>
  </si>
  <si>
    <t>NGC 7640-11,1 Γαλαξίας</t>
  </si>
  <si>
    <t xml:space="preserve"> 29 Mly Herschel</t>
  </si>
  <si>
    <t>NGC 7662 Π.Ν.1800 εφ</t>
  </si>
  <si>
    <t>Μπλέ χιονόμπαλα</t>
  </si>
  <si>
    <t>NGC 7723-11,2 Γαλαξίας</t>
  </si>
  <si>
    <t xml:space="preserve"> 80 Mly William Herschel</t>
  </si>
  <si>
    <t>NGC 7727-10,4 Γαλαξίας</t>
  </si>
  <si>
    <t xml:space="preserve"> 76 Mly William Herschel</t>
  </si>
  <si>
    <t>NGC 7741-11 Γαλαξίας</t>
  </si>
  <si>
    <t>NGC 7769-12 Γαλαξίας</t>
  </si>
  <si>
    <t>195 Μly William Herschel</t>
  </si>
  <si>
    <t>NGC 7771-12 Γαλαξίας</t>
  </si>
  <si>
    <t>200 Mly William Herschel</t>
  </si>
  <si>
    <t>NGC 7785-11,6 Γαλαξίας</t>
  </si>
  <si>
    <t>175 Mly John Herschel</t>
  </si>
  <si>
    <t>NGC 7793-9 Γαλαξίας</t>
  </si>
  <si>
    <t>NGC 7814-10,8 Γαλαξίας μικρό σομπρέρο</t>
  </si>
  <si>
    <t> "the little sombrero",</t>
  </si>
  <si>
    <t>NGC 7817-11,8 Γαλαξίας</t>
  </si>
  <si>
    <t>Όφι</t>
  </si>
  <si>
    <t>Serpens</t>
  </si>
  <si>
    <t>α Όφι</t>
  </si>
  <si>
    <t>α Serpens</t>
  </si>
  <si>
    <t>β Όφι. Οπτικά Διπλός</t>
  </si>
  <si>
    <t>β Serpens. Οπτικά Διπλός</t>
  </si>
  <si>
    <t>γ Όφι</t>
  </si>
  <si>
    <t>γ Serpens</t>
  </si>
  <si>
    <t>δ Όφι. Διπλός</t>
  </si>
  <si>
    <t>δ Serpens. Διπλός</t>
  </si>
  <si>
    <t>ε Όφι</t>
  </si>
  <si>
    <t>ε Serpens</t>
  </si>
  <si>
    <t>η Όφι</t>
  </si>
  <si>
    <t>η Serpens</t>
  </si>
  <si>
    <t>θ Όφι. Διπλός</t>
  </si>
  <si>
    <t>θ Serpens. Διπλός</t>
  </si>
  <si>
    <t>ι Όφι</t>
  </si>
  <si>
    <t>ι Serpens</t>
  </si>
  <si>
    <t>κ Όφι</t>
  </si>
  <si>
    <t>κ Serpens</t>
  </si>
  <si>
    <t>μ Όφι</t>
  </si>
  <si>
    <t>μ Serpens</t>
  </si>
  <si>
    <t>ν Όφι</t>
  </si>
  <si>
    <t>ν Serpens</t>
  </si>
  <si>
    <t>ξ Όφι</t>
  </si>
  <si>
    <t>ξ Serpens</t>
  </si>
  <si>
    <t>ρ Όφι</t>
  </si>
  <si>
    <t>ρ Serpens</t>
  </si>
  <si>
    <t>Οφιούχου</t>
  </si>
  <si>
    <t>Ophiuchus</t>
  </si>
  <si>
    <t>67 Οφιούχου. Διπλός</t>
  </si>
  <si>
    <t>67 Ophiuchus. Διπλός</t>
  </si>
  <si>
    <t>68 Οφιούχου. Διπλός</t>
  </si>
  <si>
    <t>68 Ophiuchus. Διπλός</t>
  </si>
  <si>
    <t>70 Οφιούχου. Διπλός</t>
  </si>
  <si>
    <t>70 Ophiuchus. Διπλός</t>
  </si>
  <si>
    <t>α Οφιούχου</t>
  </si>
  <si>
    <t>α Ophiuchus</t>
  </si>
  <si>
    <t>β Οφιούχου</t>
  </si>
  <si>
    <t>β Ophiuchus</t>
  </si>
  <si>
    <t>γ Οφιούχου</t>
  </si>
  <si>
    <t>γ Ophiuchus</t>
  </si>
  <si>
    <t>δ Οφιούχου</t>
  </si>
  <si>
    <t>δ Ophiuchus</t>
  </si>
  <si>
    <t>ε Οφιούχου</t>
  </si>
  <si>
    <t>ε Ophiuchus</t>
  </si>
  <si>
    <t>ζ Οφιούχου</t>
  </si>
  <si>
    <t>ζ Ophiuchus</t>
  </si>
  <si>
    <t>η Οφιούχου</t>
  </si>
  <si>
    <t>η Ophiuchus</t>
  </si>
  <si>
    <t>θ Οφιούχου</t>
  </si>
  <si>
    <t>θ Ophiuchus</t>
  </si>
  <si>
    <t>ν Οφιούχου</t>
  </si>
  <si>
    <t>ν Ophiuchus</t>
  </si>
  <si>
    <t>ρ Οφιούχου</t>
  </si>
  <si>
    <t>ρ Ophiuchus</t>
  </si>
  <si>
    <t>τ Οφιούχου</t>
  </si>
  <si>
    <t>τ Ophiuchus</t>
  </si>
  <si>
    <t>Παρθένου</t>
  </si>
  <si>
    <t>Virgo</t>
  </si>
  <si>
    <t>109 Παρθένου</t>
  </si>
  <si>
    <t>109 Virgo</t>
  </si>
  <si>
    <t>α Παρθένου. Στάχυς</t>
  </si>
  <si>
    <t>α Virgo. Spica</t>
  </si>
  <si>
    <t>β Παρθένου</t>
  </si>
  <si>
    <t>β Virgo</t>
  </si>
  <si>
    <t>γ Παρθένου. Διπλός</t>
  </si>
  <si>
    <t>γ Virgo. Διπλός</t>
  </si>
  <si>
    <t>δ Παρθένου</t>
  </si>
  <si>
    <t>δ Virgo</t>
  </si>
  <si>
    <t>ε Παρθένου</t>
  </si>
  <si>
    <t>ε Virgo</t>
  </si>
  <si>
    <t>ζ Παρθένου</t>
  </si>
  <si>
    <t>ζ Virgo</t>
  </si>
  <si>
    <t>η Παρθένου</t>
  </si>
  <si>
    <t>η Virgo</t>
  </si>
  <si>
    <t>θ Παρθένου</t>
  </si>
  <si>
    <t>θ Virgo</t>
  </si>
  <si>
    <t>ι Παρθένου</t>
  </si>
  <si>
    <t>ι Virgo</t>
  </si>
  <si>
    <t>κ Παρθένου</t>
  </si>
  <si>
    <t>κ Virgo</t>
  </si>
  <si>
    <t>μ Παρθένου</t>
  </si>
  <si>
    <t>μ Virgo</t>
  </si>
  <si>
    <t>ν Παρθένου</t>
  </si>
  <si>
    <t>ν Virgo</t>
  </si>
  <si>
    <t>ο Παρθένου</t>
  </si>
  <si>
    <t>ο Virgo</t>
  </si>
  <si>
    <t>π Παρθένου</t>
  </si>
  <si>
    <t>π Virgo</t>
  </si>
  <si>
    <t>τ Παρθένου</t>
  </si>
  <si>
    <t>τ Virgo</t>
  </si>
  <si>
    <t>Περσέα</t>
  </si>
  <si>
    <t>Perseus</t>
  </si>
  <si>
    <t>α Περσέα</t>
  </si>
  <si>
    <t>α Perseus</t>
  </si>
  <si>
    <t>β Περσέα</t>
  </si>
  <si>
    <t>β Perseus</t>
  </si>
  <si>
    <t>γ Περσέα</t>
  </si>
  <si>
    <t>γ Perseus</t>
  </si>
  <si>
    <t>δ Περσέα</t>
  </si>
  <si>
    <t>δ Perseus</t>
  </si>
  <si>
    <t>ε Περσέα</t>
  </si>
  <si>
    <t>ε Perseus</t>
  </si>
  <si>
    <t>ζ Περσέα</t>
  </si>
  <si>
    <t>ζ Perseus</t>
  </si>
  <si>
    <t>η Περσέα. Διπλός</t>
  </si>
  <si>
    <t>η Perseus. Διπλός</t>
  </si>
  <si>
    <t>ν Περσέα</t>
  </si>
  <si>
    <t>ν Perseus</t>
  </si>
  <si>
    <t>ξ Περσέα. Διπλός</t>
  </si>
  <si>
    <t>ξ Perseus. Διπλός</t>
  </si>
  <si>
    <t>ο Περσέα</t>
  </si>
  <si>
    <t>ο Perseus</t>
  </si>
  <si>
    <t>ρ Περσέα</t>
  </si>
  <si>
    <t>ρ Perseus</t>
  </si>
  <si>
    <t>φ Περσέα</t>
  </si>
  <si>
    <t>φ Perseus</t>
  </si>
  <si>
    <t>Πηγάσου</t>
  </si>
  <si>
    <t>Pegasus</t>
  </si>
  <si>
    <t>α Πηγάσου</t>
  </si>
  <si>
    <t>α Pegasus</t>
  </si>
  <si>
    <t>β Πηγάσου</t>
  </si>
  <si>
    <t>β Pegasus</t>
  </si>
  <si>
    <t>γ Πηγάσου. Variable star</t>
  </si>
  <si>
    <t>γ Pegasus. Variable star</t>
  </si>
  <si>
    <t>ε Πηγάσου</t>
  </si>
  <si>
    <t>ε Pegasus</t>
  </si>
  <si>
    <t>ζ Πηγάσου</t>
  </si>
  <si>
    <t>ζ Pegasus</t>
  </si>
  <si>
    <t>η Πηγάσου</t>
  </si>
  <si>
    <t>η Pegasus</t>
  </si>
  <si>
    <t>θ Πηγάσου</t>
  </si>
  <si>
    <t>θ Pegasus</t>
  </si>
  <si>
    <t>λ Πηγάσου</t>
  </si>
  <si>
    <t>λ Pegasus</t>
  </si>
  <si>
    <t>μ Πηγάσου</t>
  </si>
  <si>
    <t>μ Pegasus</t>
  </si>
  <si>
    <t>π Πηγάσου</t>
  </si>
  <si>
    <t>π Pegasus</t>
  </si>
  <si>
    <t>τ Πηγάσου</t>
  </si>
  <si>
    <t>τ Pegasus</t>
  </si>
  <si>
    <t>υ Πηγάσου</t>
  </si>
  <si>
    <t>υ Pegasus</t>
  </si>
  <si>
    <t>φ Πηγάσου</t>
  </si>
  <si>
    <t>φ Pegasus</t>
  </si>
  <si>
    <t>χ Πηγάσου. Variable star</t>
  </si>
  <si>
    <t>χ Pegasus. Variable star</t>
  </si>
  <si>
    <t>Περιστέρος</t>
  </si>
  <si>
    <t>Columba</t>
  </si>
  <si>
    <t>α Περιστέρας</t>
  </si>
  <si>
    <t>α Columba</t>
  </si>
  <si>
    <t>β Περιστέρας</t>
  </si>
  <si>
    <t>β Columba</t>
  </si>
  <si>
    <t>δ Περιστέρας</t>
  </si>
  <si>
    <t>δ Columba</t>
  </si>
  <si>
    <t>ε Περιστέρας</t>
  </si>
  <si>
    <t>ε Columba</t>
  </si>
  <si>
    <t>Πρύμης</t>
  </si>
  <si>
    <t>Puppis</t>
  </si>
  <si>
    <t>ξ Πρύμης</t>
  </si>
  <si>
    <t>ξ Puppis</t>
  </si>
  <si>
    <t>ρ Πρύμης</t>
  </si>
  <si>
    <t>ρ Puppis</t>
  </si>
  <si>
    <t>Πυξίδος</t>
  </si>
  <si>
    <t>Pyxis</t>
  </si>
  <si>
    <t>Σαύρας</t>
  </si>
  <si>
    <t>Lacerta</t>
  </si>
  <si>
    <t>α Σαύρας</t>
  </si>
  <si>
    <t>α Lacerta</t>
  </si>
  <si>
    <t>β Σαύρας</t>
  </si>
  <si>
    <t>β Lacerta</t>
  </si>
  <si>
    <t>Σκορπιού</t>
  </si>
  <si>
    <t>Scorpius</t>
  </si>
  <si>
    <t>α Σκορπιού. Διπλός Αντάρης</t>
  </si>
  <si>
    <t>α Scopius. Διπλός Antares</t>
  </si>
  <si>
    <t>β Σκορπιού. Διπλός</t>
  </si>
  <si>
    <t>β Scorpius. Διπλός</t>
  </si>
  <si>
    <t>δ Σκορπιού</t>
  </si>
  <si>
    <t>δ Scorpius</t>
  </si>
  <si>
    <t>ε Σκορπιού</t>
  </si>
  <si>
    <t>ε Scorpius</t>
  </si>
  <si>
    <t>ζ Σκορπιού. Πολλά μαζί</t>
  </si>
  <si>
    <t>ζ Scorpius. Πολλά μαζί</t>
  </si>
  <si>
    <t>η Σκορπιού</t>
  </si>
  <si>
    <t>η Scorpius</t>
  </si>
  <si>
    <t>θ Σκορπιού</t>
  </si>
  <si>
    <t>θ Scorpius</t>
  </si>
  <si>
    <t>κ Σκορπιού</t>
  </si>
  <si>
    <t>κ Scorpius</t>
  </si>
  <si>
    <t>λ Σκορπιού</t>
  </si>
  <si>
    <t>λ Scorpius</t>
  </si>
  <si>
    <t>μ Σκορπιού. Διπλός</t>
  </si>
  <si>
    <t>μ Scorpius. Διπλός</t>
  </si>
  <si>
    <t>ν Σκορπιού. Διπλός</t>
  </si>
  <si>
    <t>ν Scorpius. Διπλός</t>
  </si>
  <si>
    <t>π Σκορπιού</t>
  </si>
  <si>
    <t>π Scorpius</t>
  </si>
  <si>
    <t>σ Σκορπιού</t>
  </si>
  <si>
    <t>σ Scorpius</t>
  </si>
  <si>
    <t>τ Σκορπιού</t>
  </si>
  <si>
    <t>τ Scorpius</t>
  </si>
  <si>
    <t>υ Σκορπιού</t>
  </si>
  <si>
    <t>υ Scorpius</t>
  </si>
  <si>
    <t>Βόρειου Στεφάνου</t>
  </si>
  <si>
    <t>Corona Borealis</t>
  </si>
  <si>
    <t>α Βόρειου Στέφανου. Μαργαρίτης</t>
  </si>
  <si>
    <t>α Corona Borealis</t>
  </si>
  <si>
    <t>β Βόρειου Στέφανου. Διπλός</t>
  </si>
  <si>
    <t>β Corona Borealis. Διπλός</t>
  </si>
  <si>
    <t>γ Βόρειου Στέφανου.</t>
  </si>
  <si>
    <t>γ Corona Borealis</t>
  </si>
  <si>
    <t>δ Βόρειου Στέφανου.</t>
  </si>
  <si>
    <t>δ Corona Borealis</t>
  </si>
  <si>
    <t>ε Βόρειου Στέφανου.</t>
  </si>
  <si>
    <t>ε Corona Borealis</t>
  </si>
  <si>
    <t>ζ1 Βόρειου Στέφανου.</t>
  </si>
  <si>
    <t>ζ1 Corona Borealis</t>
  </si>
  <si>
    <t>ι Βόρειου Στέφανου.</t>
  </si>
  <si>
    <t>ι Corona Borealis</t>
  </si>
  <si>
    <t>κ Βόρειου Στέφανου.</t>
  </si>
  <si>
    <t>κ Corona Borealis</t>
  </si>
  <si>
    <t>π Βόρειου Στέφανου.</t>
  </si>
  <si>
    <t>π Corona Borealis</t>
  </si>
  <si>
    <t>σ Βόρειου Στέφανου. Διπλός</t>
  </si>
  <si>
    <t>σ Corona Borealis. Διπλός</t>
  </si>
  <si>
    <t>Νότιου Στεφάνου</t>
  </si>
  <si>
    <t>Corona Australis</t>
  </si>
  <si>
    <t>α Νοτίου Στεφάνου</t>
  </si>
  <si>
    <t>α Corona Australis</t>
  </si>
  <si>
    <t>β Νοτίου Στεφάνου</t>
  </si>
  <si>
    <t>β Corona Australis</t>
  </si>
  <si>
    <t>γ Νοτίου Στεφάνου</t>
  </si>
  <si>
    <t>γ Corona Australis</t>
  </si>
  <si>
    <t>Ταύρου</t>
  </si>
  <si>
    <t>Taurus</t>
  </si>
  <si>
    <t>α Ταύρου.Λαμπαδίας</t>
  </si>
  <si>
    <t>α Taurus. Aldebaran</t>
  </si>
  <si>
    <t>β Ταύρου. High proper motios star</t>
  </si>
  <si>
    <t>β Taurus. High proper motios star</t>
  </si>
  <si>
    <t>ζ Ταύρου</t>
  </si>
  <si>
    <t>ζ Taurus</t>
  </si>
  <si>
    <t>Αλκυόνη</t>
  </si>
  <si>
    <t>η Taurus</t>
  </si>
  <si>
    <t>λ Ταύρου</t>
  </si>
  <si>
    <t>λ Taurus</t>
  </si>
  <si>
    <t>Τοξότου</t>
  </si>
  <si>
    <t>Sagittarius</t>
  </si>
  <si>
    <t>α Τοξότου</t>
  </si>
  <si>
    <t>α Sagittarius</t>
  </si>
  <si>
    <t xml:space="preserve">γ Τοξότου. High proper motios star. </t>
  </si>
  <si>
    <t xml:space="preserve">γ Sagittarius. High proper motios star. </t>
  </si>
  <si>
    <t xml:space="preserve">δ Τοξότου. High proper motios star. </t>
  </si>
  <si>
    <t xml:space="preserve">δ Sagittarius. High proper motios star. </t>
  </si>
  <si>
    <t>ε Τοξότου. Διπλός</t>
  </si>
  <si>
    <t>ε Sagittarius. Διπλός</t>
  </si>
  <si>
    <t>ζ Τοξότου. Διπλός</t>
  </si>
  <si>
    <t>ζ Sagittarius. Διπλός</t>
  </si>
  <si>
    <t>η Τοξότου</t>
  </si>
  <si>
    <t>η Sagittarius</t>
  </si>
  <si>
    <t>λ Τοξότου</t>
  </si>
  <si>
    <t>λ Sagittarius</t>
  </si>
  <si>
    <t>ξ Τοξότου</t>
  </si>
  <si>
    <t>ξ Sagittarius</t>
  </si>
  <si>
    <t>ο Τοξότου</t>
  </si>
  <si>
    <t>ο Sagittarius</t>
  </si>
  <si>
    <t>π Τοξότου. Διπλός</t>
  </si>
  <si>
    <t>π Sagittarius. Διπλός</t>
  </si>
  <si>
    <t>σ Τοξότου</t>
  </si>
  <si>
    <t>σ Sagittarius</t>
  </si>
  <si>
    <t>τ Τοξότου</t>
  </si>
  <si>
    <t>τ Sagittarius</t>
  </si>
  <si>
    <t>φ Τοξότου</t>
  </si>
  <si>
    <t>φ Sagittarius</t>
  </si>
  <si>
    <t>Τριγώνου</t>
  </si>
  <si>
    <t>Triangulum</t>
  </si>
  <si>
    <t>α Τριγώνου</t>
  </si>
  <si>
    <t>αTriangulum</t>
  </si>
  <si>
    <t>β Τριγώνου</t>
  </si>
  <si>
    <t>β Triangulum</t>
  </si>
  <si>
    <t>γ Τριγώνου. High proper motios star</t>
  </si>
  <si>
    <t>γ Triangulum. High proper motios star</t>
  </si>
  <si>
    <t>Τροπίδος</t>
  </si>
  <si>
    <t>Carina</t>
  </si>
  <si>
    <t>Υδροχόου</t>
  </si>
  <si>
    <t>Aquarius</t>
  </si>
  <si>
    <t>α Υδροχόου</t>
  </si>
  <si>
    <t>α Aquarius</t>
  </si>
  <si>
    <t>β Υδροχόου</t>
  </si>
  <si>
    <t>β Aquarius</t>
  </si>
  <si>
    <t>γ Υδροχόου</t>
  </si>
  <si>
    <t>γ Aquarius</t>
  </si>
  <si>
    <t>δ Υδροχόου</t>
  </si>
  <si>
    <t>δ Aquarius</t>
  </si>
  <si>
    <t>ε Υδροχόου</t>
  </si>
  <si>
    <t>ε Aquarius</t>
  </si>
  <si>
    <t>ζ Υδροχόου. Διπλός</t>
  </si>
  <si>
    <t>ζ Aquarius. Διπλός</t>
  </si>
  <si>
    <t>η Υδροχόου</t>
  </si>
  <si>
    <t>η Aquarius</t>
  </si>
  <si>
    <t>θ Υδροχόου</t>
  </si>
  <si>
    <t>θ Aquarius</t>
  </si>
  <si>
    <t>κ Υδροχόου</t>
  </si>
  <si>
    <t>κ Aquarius</t>
  </si>
  <si>
    <t>λ Υδροχόου</t>
  </si>
  <si>
    <t>λ Aquarius</t>
  </si>
  <si>
    <t>ν Υδροχόου</t>
  </si>
  <si>
    <t>ν Aquarius</t>
  </si>
  <si>
    <t>π Υδροχόου</t>
  </si>
  <si>
    <t>π Aquarius</t>
  </si>
  <si>
    <t>φ Υδροχόου</t>
  </si>
  <si>
    <t>φ Aquarius</t>
  </si>
  <si>
    <t>ψ1 Υδροχόου. High proper motios star</t>
  </si>
  <si>
    <t>ψ1 Aquarius. High proper motios star</t>
  </si>
  <si>
    <t>ψ2 Υδροχόου</t>
  </si>
  <si>
    <t>ψ2 Aquarius</t>
  </si>
  <si>
    <t>ω2 Υδροχόου</t>
  </si>
  <si>
    <t>ω2 Aquarius</t>
  </si>
  <si>
    <t>Ύδρας</t>
  </si>
  <si>
    <t>Hydra</t>
  </si>
  <si>
    <t>α Ύδρας</t>
  </si>
  <si>
    <t>α Hydra</t>
  </si>
  <si>
    <t>β Ύδρας</t>
  </si>
  <si>
    <t>β Hydra</t>
  </si>
  <si>
    <t>γ Ύδρας</t>
  </si>
  <si>
    <t>γ Hydra</t>
  </si>
  <si>
    <t>δ Ύδρας. Διπλός</t>
  </si>
  <si>
    <t>δ  Hydra. Διπλός</t>
  </si>
  <si>
    <t>ε Ύδρας</t>
  </si>
  <si>
    <t>ε Hydra</t>
  </si>
  <si>
    <t>ζ  Ύδρας</t>
  </si>
  <si>
    <t>ζ Hydra</t>
  </si>
  <si>
    <t>θ  Ύδρας</t>
  </si>
  <si>
    <t>θ Hydra</t>
  </si>
  <si>
    <t>ι  Ύδρας</t>
  </si>
  <si>
    <t>ι Hydra</t>
  </si>
  <si>
    <t>λ  Ύδρας</t>
  </si>
  <si>
    <t>λ Hydra</t>
  </si>
  <si>
    <t>ν  Ύδρας</t>
  </si>
  <si>
    <t>ν Hydra</t>
  </si>
  <si>
    <t>ξ  Ύδρας</t>
  </si>
  <si>
    <t>ξ Hydra</t>
  </si>
  <si>
    <t>π Ύδρας</t>
  </si>
  <si>
    <t>π Hydra</t>
  </si>
  <si>
    <t>υ1 Ύδρας</t>
  </si>
  <si>
    <t>υ1 Hydra</t>
  </si>
  <si>
    <t>ψ Ύδρας</t>
  </si>
  <si>
    <t>ψ Hydra</t>
  </si>
  <si>
    <t>Φοίνικος</t>
  </si>
  <si>
    <t>Phoexix</t>
  </si>
  <si>
    <t xml:space="preserve">      HD</t>
  </si>
  <si>
    <t>HD 81817</t>
  </si>
  <si>
    <t>HD 106112</t>
  </si>
  <si>
    <t>HD 139691</t>
  </si>
  <si>
    <t>Διπλός!</t>
  </si>
  <si>
    <t>HD 136176</t>
  </si>
  <si>
    <t>HD 142742</t>
  </si>
  <si>
    <t>ω 081817</t>
  </si>
  <si>
    <t>ω 106112</t>
  </si>
  <si>
    <t>ω 136176</t>
  </si>
  <si>
    <t>ω 139691</t>
  </si>
  <si>
    <t>ω 142742</t>
  </si>
  <si>
    <t>Ωρίωνος</t>
  </si>
  <si>
    <t>Orion</t>
  </si>
  <si>
    <t>α Ωρίωνος.Betelgeuez</t>
  </si>
  <si>
    <t>α Orion.Betelgeuez</t>
  </si>
  <si>
    <t>β Ωρίωνος.Rigel Διπλός</t>
  </si>
  <si>
    <t>β Orion.Rigel Διπλός</t>
  </si>
  <si>
    <t>γ Ωρίωνος</t>
  </si>
  <si>
    <t>γ Orion</t>
  </si>
  <si>
    <t>δ Ωρίωνος. Διπλός</t>
  </si>
  <si>
    <t>δ Orion. Διπλός</t>
  </si>
  <si>
    <t>ε Ωρίωνος</t>
  </si>
  <si>
    <t>ε Orion</t>
  </si>
  <si>
    <t>ζ Ωρίωνος. Διπλός</t>
  </si>
  <si>
    <t>ζ Orion. Διπλός</t>
  </si>
  <si>
    <t>η Ωρίωνος</t>
  </si>
  <si>
    <t>η Orion</t>
  </si>
  <si>
    <t>θ Ωρίωνος. Τετραπλός</t>
  </si>
  <si>
    <t>θ Orion. Τετραπλός</t>
  </si>
  <si>
    <t>κ Ωρίωνος</t>
  </si>
  <si>
    <t>κ Orion</t>
  </si>
  <si>
    <t>λ Ωρίωνος. Διπλός</t>
  </si>
  <si>
    <t>λ Orion. Διπλός</t>
  </si>
  <si>
    <t>σ Ωρίωνος. Τετραπλός</t>
  </si>
  <si>
    <t>σ Orion. Τετραπλός</t>
  </si>
  <si>
    <t>ωσο α</t>
  </si>
  <si>
    <t>ωσο β</t>
  </si>
  <si>
    <t>ωσο γ</t>
  </si>
  <si>
    <t>ωσο δ</t>
  </si>
  <si>
    <t>ωσο ε</t>
  </si>
  <si>
    <t>ωωχ α</t>
  </si>
  <si>
    <t>Ορθή Αναφορά&gt;24</t>
  </si>
  <si>
    <t>ωωχ β</t>
  </si>
  <si>
    <t>Ορθή Αναφορά&lt;0</t>
  </si>
  <si>
    <t>ωωχ γ</t>
  </si>
  <si>
    <t>Απόκλιση&gt;90</t>
  </si>
  <si>
    <t>ωωχ δ</t>
  </si>
  <si>
    <t>Απόκλιση&lt;-90</t>
  </si>
  <si>
    <t>ωωχ ε</t>
  </si>
  <si>
    <t>Διαφορετικά πρόσημα</t>
  </si>
  <si>
    <t>στην Απόκλιση</t>
  </si>
  <si>
    <t>ωωχ ζ</t>
  </si>
  <si>
    <t>ωωχ η</t>
  </si>
  <si>
    <t>ωωχ θ</t>
  </si>
  <si>
    <t>στην Ορθή Αναφορά</t>
  </si>
  <si>
    <t>ωωχ ι</t>
  </si>
  <si>
    <t>ωωχ κ</t>
  </si>
  <si>
    <t>ωωχ λ</t>
  </si>
  <si>
    <t>Πλήθος Λαθών</t>
  </si>
  <si>
    <t>στον κατάλογο</t>
  </si>
  <si>
    <t>ωωχ μ</t>
  </si>
  <si>
    <t>κλ</t>
  </si>
  <si>
    <t>γράμματα στην ΟΑ</t>
  </si>
  <si>
    <t>ωωχ ν</t>
  </si>
  <si>
    <t>γράμματα στην Απόκλιση</t>
  </si>
  <si>
    <t>γράμματα στην Απ'οκλιση</t>
  </si>
  <si>
    <t>Μη αναγνωρίσιμοι χαρακτήρες</t>
  </si>
  <si>
    <t>Aql</t>
  </si>
  <si>
    <t>α Aql</t>
  </si>
  <si>
    <t>β Aql</t>
  </si>
  <si>
    <t>γ Aql</t>
  </si>
  <si>
    <t>δ Aql</t>
  </si>
  <si>
    <t>ε Aql</t>
  </si>
  <si>
    <t>ζ Aql</t>
  </si>
  <si>
    <t>θ Aql</t>
  </si>
  <si>
    <t>λ Aql</t>
  </si>
  <si>
    <t>Cap</t>
  </si>
  <si>
    <t>α Cap</t>
  </si>
  <si>
    <t>β Cap</t>
  </si>
  <si>
    <t>γ Cap</t>
  </si>
  <si>
    <t>δ Cap</t>
  </si>
  <si>
    <t>ζ Cap</t>
  </si>
  <si>
    <t>θ Cap</t>
  </si>
  <si>
    <t>ι Cap</t>
  </si>
  <si>
    <t>ψ Cap</t>
  </si>
  <si>
    <t>ω Cap</t>
  </si>
  <si>
    <t>Vul</t>
  </si>
  <si>
    <t>α Vul</t>
  </si>
  <si>
    <t>Uma</t>
  </si>
  <si>
    <t>23 Uma</t>
  </si>
  <si>
    <t>α Uma</t>
  </si>
  <si>
    <t>β Uma</t>
  </si>
  <si>
    <t>γ Uma</t>
  </si>
  <si>
    <t>δ Uma</t>
  </si>
  <si>
    <t>ε Uma</t>
  </si>
  <si>
    <t>ζ Uma</t>
  </si>
  <si>
    <t>η Uma</t>
  </si>
  <si>
    <t>θ Uma</t>
  </si>
  <si>
    <t>ι Uma</t>
  </si>
  <si>
    <t>κ Uma</t>
  </si>
  <si>
    <t>λ Uma</t>
  </si>
  <si>
    <t>μ Uma</t>
  </si>
  <si>
    <t>ν Uma</t>
  </si>
  <si>
    <t>ξ Uma</t>
  </si>
  <si>
    <t>ο Uma</t>
  </si>
  <si>
    <t>υ Uma</t>
  </si>
  <si>
    <t>χ Uma</t>
  </si>
  <si>
    <t>ψ Uma</t>
  </si>
  <si>
    <t>Umi</t>
  </si>
  <si>
    <t>α Umi</t>
  </si>
  <si>
    <t>β Umi</t>
  </si>
  <si>
    <t>γ Umi</t>
  </si>
  <si>
    <t>δ Umi</t>
  </si>
  <si>
    <t>ε Umi</t>
  </si>
  <si>
    <t>ζ Umi</t>
  </si>
  <si>
    <t>η Umi</t>
  </si>
  <si>
    <t>And</t>
  </si>
  <si>
    <t>51 And</t>
  </si>
  <si>
    <t>α And</t>
  </si>
  <si>
    <t>β And</t>
  </si>
  <si>
    <t>γ And</t>
  </si>
  <si>
    <t>δ And</t>
  </si>
  <si>
    <t>ι And</t>
  </si>
  <si>
    <t>κ And</t>
  </si>
  <si>
    <t>λ And</t>
  </si>
  <si>
    <t>μ And</t>
  </si>
  <si>
    <t>ν And</t>
  </si>
  <si>
    <t>ο And</t>
  </si>
  <si>
    <t>φ And</t>
  </si>
  <si>
    <t>ψ And</t>
  </si>
  <si>
    <t>Ant</t>
  </si>
  <si>
    <t>α Ant</t>
  </si>
  <si>
    <t>ι Ant</t>
  </si>
  <si>
    <t>Sct</t>
  </si>
  <si>
    <t>α Sct</t>
  </si>
  <si>
    <t>β Sct</t>
  </si>
  <si>
    <t>γ Sct</t>
  </si>
  <si>
    <t>αω</t>
  </si>
  <si>
    <t>α sge</t>
  </si>
  <si>
    <t>β sge</t>
  </si>
  <si>
    <t>γ sge</t>
  </si>
  <si>
    <t>δ sge</t>
  </si>
  <si>
    <t>44 Boo</t>
  </si>
  <si>
    <t>ε Boo</t>
  </si>
  <si>
    <t>κ Boo</t>
  </si>
  <si>
    <t>μ Boo</t>
  </si>
  <si>
    <t>ξ Boo</t>
  </si>
  <si>
    <t>π Boo</t>
  </si>
  <si>
    <t>Gru</t>
  </si>
  <si>
    <t>Scl</t>
  </si>
  <si>
    <t>γ Scl</t>
  </si>
  <si>
    <t>δ Scl</t>
  </si>
  <si>
    <t>Nor</t>
  </si>
  <si>
    <t>Del</t>
  </si>
  <si>
    <t>α Del</t>
  </si>
  <si>
    <t>β Del</t>
  </si>
  <si>
    <t>γ Del</t>
  </si>
  <si>
    <t>δ Del</t>
  </si>
  <si>
    <t>ε Del</t>
  </si>
  <si>
    <t>ζ Del</t>
  </si>
  <si>
    <t>Gem</t>
  </si>
  <si>
    <t>α Gem</t>
  </si>
  <si>
    <t>β Gem</t>
  </si>
  <si>
    <t>γ Gem</t>
  </si>
  <si>
    <t>δ Gem</t>
  </si>
  <si>
    <t>ε Gem</t>
  </si>
  <si>
    <t>ζ Gem</t>
  </si>
  <si>
    <t>η Gem</t>
  </si>
  <si>
    <t>μ Gem</t>
  </si>
  <si>
    <t>Dra</t>
  </si>
  <si>
    <t>α Dra</t>
  </si>
  <si>
    <t>β Dra</t>
  </si>
  <si>
    <t>γ Dra</t>
  </si>
  <si>
    <t>δ Dra</t>
  </si>
  <si>
    <t>ε Dra</t>
  </si>
  <si>
    <t>ζ Dra</t>
  </si>
  <si>
    <t>η Dra</t>
  </si>
  <si>
    <t>θ Dra</t>
  </si>
  <si>
    <t>ι Dra</t>
  </si>
  <si>
    <t>κ Dra</t>
  </si>
  <si>
    <t>λ Dra</t>
  </si>
  <si>
    <t>ν Dra</t>
  </si>
  <si>
    <t>ξ Dra</t>
  </si>
  <si>
    <t>τ Dra</t>
  </si>
  <si>
    <t>φ Dra</t>
  </si>
  <si>
    <t>χ Dra</t>
  </si>
  <si>
    <t>IC 418</t>
  </si>
  <si>
    <t>IC 1276</t>
  </si>
  <si>
    <t>IC 2003</t>
  </si>
  <si>
    <t>IC 2149</t>
  </si>
  <si>
    <t>IC 2165</t>
  </si>
  <si>
    <t>IC 3568</t>
  </si>
  <si>
    <t>IC 4776</t>
  </si>
  <si>
    <t>IC 4997</t>
  </si>
  <si>
    <t>IC 5146</t>
  </si>
  <si>
    <t>IC 5271</t>
  </si>
  <si>
    <t>Sex</t>
  </si>
  <si>
    <t>α Sex</t>
  </si>
  <si>
    <t>β Sex</t>
  </si>
  <si>
    <t>γ Sex</t>
  </si>
  <si>
    <t>Lib</t>
  </si>
  <si>
    <t>α Lib</t>
  </si>
  <si>
    <t>β Lib</t>
  </si>
  <si>
    <t>γ Lib</t>
  </si>
  <si>
    <t>σ Lib</t>
  </si>
  <si>
    <t>Aur</t>
  </si>
  <si>
    <t>α Aur</t>
  </si>
  <si>
    <t>β Aur</t>
  </si>
  <si>
    <t>θ Aur</t>
  </si>
  <si>
    <t>ι Aur</t>
  </si>
  <si>
    <t>Her</t>
  </si>
  <si>
    <t>95 Her</t>
  </si>
  <si>
    <t>α Her</t>
  </si>
  <si>
    <t>β Her</t>
  </si>
  <si>
    <t>γ Her</t>
  </si>
  <si>
    <t>δ Her</t>
  </si>
  <si>
    <t>ε Her</t>
  </si>
  <si>
    <t>ζ Her</t>
  </si>
  <si>
    <t>η Her</t>
  </si>
  <si>
    <t>θ Her</t>
  </si>
  <si>
    <t>ι Her</t>
  </si>
  <si>
    <t>κ Her</t>
  </si>
  <si>
    <t>λ Her</t>
  </si>
  <si>
    <t>μ Her</t>
  </si>
  <si>
    <t>ξ Her</t>
  </si>
  <si>
    <t>ο Her</t>
  </si>
  <si>
    <t>π Her</t>
  </si>
  <si>
    <t>ρ Her</t>
  </si>
  <si>
    <t>σ Her</t>
  </si>
  <si>
    <t>τ Her</t>
  </si>
  <si>
    <t>υ Her</t>
  </si>
  <si>
    <t>φ Her</t>
  </si>
  <si>
    <t>χ Her</t>
  </si>
  <si>
    <t>Eri</t>
  </si>
  <si>
    <t>β Eri</t>
  </si>
  <si>
    <t>γ Eri</t>
  </si>
  <si>
    <t>δ Eri</t>
  </si>
  <si>
    <t>ε Eri</t>
  </si>
  <si>
    <t>ζ Eri</t>
  </si>
  <si>
    <t>η Eri</t>
  </si>
  <si>
    <t>μ Eri</t>
  </si>
  <si>
    <t>ν Eri</t>
  </si>
  <si>
    <t>ο1 Eri</t>
  </si>
  <si>
    <t>π Eri</t>
  </si>
  <si>
    <t>τ1 Eri</t>
  </si>
  <si>
    <t>τ2 Eri</t>
  </si>
  <si>
    <t>τ3 Eri</t>
  </si>
  <si>
    <t>τ4 Eri</t>
  </si>
  <si>
    <t>τ5 Eri</t>
  </si>
  <si>
    <t>Equ</t>
  </si>
  <si>
    <t>α Equ</t>
  </si>
  <si>
    <t>γ Equ</t>
  </si>
  <si>
    <t>δ Equ</t>
  </si>
  <si>
    <t>Vel</t>
  </si>
  <si>
    <t>Psc</t>
  </si>
  <si>
    <t>α Psc</t>
  </si>
  <si>
    <t>β Psc</t>
  </si>
  <si>
    <t>γ Psc</t>
  </si>
  <si>
    <t>δ Psc</t>
  </si>
  <si>
    <t>ε Psc</t>
  </si>
  <si>
    <t>η Psc</t>
  </si>
  <si>
    <t>θ Psc</t>
  </si>
  <si>
    <t>ι Psc</t>
  </si>
  <si>
    <t>κ Psc</t>
  </si>
  <si>
    <t>λ Psc</t>
  </si>
  <si>
    <t>μ Psc</t>
  </si>
  <si>
    <t>ν Psc</t>
  </si>
  <si>
    <t>ο Psc</t>
  </si>
  <si>
    <t>ω Psc</t>
  </si>
  <si>
    <t>PsA</t>
  </si>
  <si>
    <t>α PsA</t>
  </si>
  <si>
    <t>β PsA</t>
  </si>
  <si>
    <t>γ PsA</t>
  </si>
  <si>
    <t>δ PsA</t>
  </si>
  <si>
    <t>ε PsA</t>
  </si>
  <si>
    <t>Cam</t>
  </si>
  <si>
    <t>α Cam</t>
  </si>
  <si>
    <t>β Cam</t>
  </si>
  <si>
    <t>γ Cam</t>
  </si>
  <si>
    <t>For</t>
  </si>
  <si>
    <t>Cnc</t>
  </si>
  <si>
    <t>α Cnc</t>
  </si>
  <si>
    <t>β Cnc</t>
  </si>
  <si>
    <t>γ Cnc</t>
  </si>
  <si>
    <t>δ Cnc</t>
  </si>
  <si>
    <t>ζ Cnc</t>
  </si>
  <si>
    <t>ι Cnc</t>
  </si>
  <si>
    <t>Cas</t>
  </si>
  <si>
    <t>α Cas</t>
  </si>
  <si>
    <t>β Cas</t>
  </si>
  <si>
    <t>γ Cas</t>
  </si>
  <si>
    <t>δ Cas</t>
  </si>
  <si>
    <t>ε Cas</t>
  </si>
  <si>
    <t>η Cas</t>
  </si>
  <si>
    <t>ι Cas</t>
  </si>
  <si>
    <t>κ Cas</t>
  </si>
  <si>
    <t>ο Cas</t>
  </si>
  <si>
    <t>Cen</t>
  </si>
  <si>
    <t>θ Cen</t>
  </si>
  <si>
    <t>ι Cen</t>
  </si>
  <si>
    <t>Cet</t>
  </si>
  <si>
    <t>α Cet</t>
  </si>
  <si>
    <t>β Cet</t>
  </si>
  <si>
    <t>γ Cet</t>
  </si>
  <si>
    <t>δ Cet</t>
  </si>
  <si>
    <t>ζ Cet</t>
  </si>
  <si>
    <t>η Cet</t>
  </si>
  <si>
    <t>θ Cet</t>
  </si>
  <si>
    <t>ι Cet</t>
  </si>
  <si>
    <t>ο Cet</t>
  </si>
  <si>
    <t>π Cet</t>
  </si>
  <si>
    <t>τ Cet</t>
  </si>
  <si>
    <t>υ Cet</t>
  </si>
  <si>
    <t>Cep</t>
  </si>
  <si>
    <t>α Cep</t>
  </si>
  <si>
    <t>β Cep</t>
  </si>
  <si>
    <t>γ Cep</t>
  </si>
  <si>
    <t>δ Cep</t>
  </si>
  <si>
    <t>ε Cep</t>
  </si>
  <si>
    <t>ζ Cep</t>
  </si>
  <si>
    <t>η Cep</t>
  </si>
  <si>
    <t>θ Cep</t>
  </si>
  <si>
    <t>ι Cep</t>
  </si>
  <si>
    <t>μ Cep</t>
  </si>
  <si>
    <t>ξ Cep</t>
  </si>
  <si>
    <t>Cma</t>
  </si>
  <si>
    <t>α Cma</t>
  </si>
  <si>
    <t>β Cma</t>
  </si>
  <si>
    <t>δ Cma</t>
  </si>
  <si>
    <t>ε Cma</t>
  </si>
  <si>
    <t>ζ Cma</t>
  </si>
  <si>
    <t>η Cma</t>
  </si>
  <si>
    <t>ν1 Cma</t>
  </si>
  <si>
    <t>Cmi</t>
  </si>
  <si>
    <t>α Cmi</t>
  </si>
  <si>
    <t>β Cmi</t>
  </si>
  <si>
    <t>γ Cmi</t>
  </si>
  <si>
    <t>Com</t>
  </si>
  <si>
    <t>α Com</t>
  </si>
  <si>
    <t>β Com</t>
  </si>
  <si>
    <t>γ Com</t>
  </si>
  <si>
    <t>Crv</t>
  </si>
  <si>
    <t>α Crv</t>
  </si>
  <si>
    <t>β Crv</t>
  </si>
  <si>
    <t>γ Crv</t>
  </si>
  <si>
    <t>δ Crv</t>
  </si>
  <si>
    <t>ε Crv</t>
  </si>
  <si>
    <t>Crt</t>
  </si>
  <si>
    <t>α Crt</t>
  </si>
  <si>
    <t>β Crt</t>
  </si>
  <si>
    <t>γ Crt</t>
  </si>
  <si>
    <t>δ Crt</t>
  </si>
  <si>
    <t>ε Crt</t>
  </si>
  <si>
    <t>ζ Crt</t>
  </si>
  <si>
    <t>η Crt</t>
  </si>
  <si>
    <t>θ Crt</t>
  </si>
  <si>
    <t>Ari</t>
  </si>
  <si>
    <t>41 Ari</t>
  </si>
  <si>
    <t>α Ari</t>
  </si>
  <si>
    <t>β Ari</t>
  </si>
  <si>
    <t>γ Ari</t>
  </si>
  <si>
    <t>CVn</t>
  </si>
  <si>
    <t>α CVn</t>
  </si>
  <si>
    <t>β CVn</t>
  </si>
  <si>
    <t>Cyg</t>
  </si>
  <si>
    <t>52 Cyg</t>
  </si>
  <si>
    <t>61 Cyg</t>
  </si>
  <si>
    <t>α Cyg</t>
  </si>
  <si>
    <t>β Cyg</t>
  </si>
  <si>
    <t>γ Cyg</t>
  </si>
  <si>
    <t>δ Cyg</t>
  </si>
  <si>
    <t>ε Cyg</t>
  </si>
  <si>
    <t>ζ Cyg</t>
  </si>
  <si>
    <t>η Cyg</t>
  </si>
  <si>
    <t>ι Cyg</t>
  </si>
  <si>
    <t>κ Cyg</t>
  </si>
  <si>
    <t>ν Cyg</t>
  </si>
  <si>
    <t>ξ Cyg</t>
  </si>
  <si>
    <t>ο1 Cyg</t>
  </si>
  <si>
    <t>ο2 Cyg</t>
  </si>
  <si>
    <t>σ Cyg</t>
  </si>
  <si>
    <t>τ Cyg</t>
  </si>
  <si>
    <t>Lep</t>
  </si>
  <si>
    <t>α Lep</t>
  </si>
  <si>
    <t>β Lep</t>
  </si>
  <si>
    <t>γ Lep</t>
  </si>
  <si>
    <t>δ Lep</t>
  </si>
  <si>
    <t>ε Lep</t>
  </si>
  <si>
    <t>ζ Lep</t>
  </si>
  <si>
    <t>η Lep</t>
  </si>
  <si>
    <t>μ Lep</t>
  </si>
  <si>
    <t>α Leo</t>
  </si>
  <si>
    <t>γ Leo</t>
  </si>
  <si>
    <t>Lmi</t>
  </si>
  <si>
    <t>10 Lmi</t>
  </si>
  <si>
    <t>21 Lmi</t>
  </si>
  <si>
    <t>46 Lmi</t>
  </si>
  <si>
    <t>β Lmi</t>
  </si>
  <si>
    <t>Lyn</t>
  </si>
  <si>
    <t>Lup</t>
  </si>
  <si>
    <t>Lyr</t>
  </si>
  <si>
    <t>α Lyr</t>
  </si>
  <si>
    <t>β Lyr</t>
  </si>
  <si>
    <t>γ Lyr</t>
  </si>
  <si>
    <t>δ Lyr</t>
  </si>
  <si>
    <t>ε Lyr</t>
  </si>
  <si>
    <t>ζ Lyr</t>
  </si>
  <si>
    <t>η Lyr</t>
  </si>
  <si>
    <t>θ Lyr</t>
  </si>
  <si>
    <t>μ 1</t>
  </si>
  <si>
    <t>μ 2</t>
  </si>
  <si>
    <t>μ 3</t>
  </si>
  <si>
    <t>μ 4</t>
  </si>
  <si>
    <t>μ 5</t>
  </si>
  <si>
    <t>μ 6</t>
  </si>
  <si>
    <t>μ 7</t>
  </si>
  <si>
    <t>μ 8</t>
  </si>
  <si>
    <t>μ 9</t>
  </si>
  <si>
    <t>μ 10</t>
  </si>
  <si>
    <t>μ 11</t>
  </si>
  <si>
    <t>μ 12</t>
  </si>
  <si>
    <t>μ 13</t>
  </si>
  <si>
    <t>μ 14</t>
  </si>
  <si>
    <t>μ 15</t>
  </si>
  <si>
    <t>μ 16</t>
  </si>
  <si>
    <t>μ 17</t>
  </si>
  <si>
    <t>μ 18</t>
  </si>
  <si>
    <t>μ 19</t>
  </si>
  <si>
    <t>μ 20</t>
  </si>
  <si>
    <t>μ 21</t>
  </si>
  <si>
    <t>μ 22</t>
  </si>
  <si>
    <t>μ 23</t>
  </si>
  <si>
    <t>μ 24</t>
  </si>
  <si>
    <t>μ 25</t>
  </si>
  <si>
    <t>μ 26</t>
  </si>
  <si>
    <t>μ 27</t>
  </si>
  <si>
    <t>μ 28</t>
  </si>
  <si>
    <t>μ 29</t>
  </si>
  <si>
    <t>μ 30</t>
  </si>
  <si>
    <t>μ 31</t>
  </si>
  <si>
    <t>μ 33</t>
  </si>
  <si>
    <t>μ 35</t>
  </si>
  <si>
    <t>μ 36</t>
  </si>
  <si>
    <t>μ 37</t>
  </si>
  <si>
    <t>μ 38</t>
  </si>
  <si>
    <t>μ 39</t>
  </si>
  <si>
    <t>μ 41</t>
  </si>
  <si>
    <t>μ 42</t>
  </si>
  <si>
    <t>μ 44</t>
  </si>
  <si>
    <t>μ 46</t>
  </si>
  <si>
    <t>μ 47</t>
  </si>
  <si>
    <t>μ 48</t>
  </si>
  <si>
    <t>μ 49</t>
  </si>
  <si>
    <t>μ 50</t>
  </si>
  <si>
    <t>μ 51</t>
  </si>
  <si>
    <t>μ 53</t>
  </si>
  <si>
    <t>μ 54</t>
  </si>
  <si>
    <t>μ 55</t>
  </si>
  <si>
    <t>μ 56</t>
  </si>
  <si>
    <t>μ 57</t>
  </si>
  <si>
    <t>μ 58</t>
  </si>
  <si>
    <t>μ 59</t>
  </si>
  <si>
    <t>μ 60</t>
  </si>
  <si>
    <t>μ 61</t>
  </si>
  <si>
    <t>μ 62</t>
  </si>
  <si>
    <t>μ 63</t>
  </si>
  <si>
    <t>μ 64</t>
  </si>
  <si>
    <t>μ 65</t>
  </si>
  <si>
    <t>μ 66</t>
  </si>
  <si>
    <t>μ 67</t>
  </si>
  <si>
    <t>μ 68</t>
  </si>
  <si>
    <t>μ 69</t>
  </si>
  <si>
    <t>μ 70</t>
  </si>
  <si>
    <t>μ 71</t>
  </si>
  <si>
    <t>μ 72</t>
  </si>
  <si>
    <t>μ 73</t>
  </si>
  <si>
    <t>μ 74</t>
  </si>
  <si>
    <t>μ 75</t>
  </si>
  <si>
    <t>μ 76</t>
  </si>
  <si>
    <t>μ 77</t>
  </si>
  <si>
    <t>μ 78</t>
  </si>
  <si>
    <t>μ 79</t>
  </si>
  <si>
    <t>μ 80</t>
  </si>
  <si>
    <t>μ 81</t>
  </si>
  <si>
    <t>μ 83</t>
  </si>
  <si>
    <t>μ 84</t>
  </si>
  <si>
    <t>μ 85</t>
  </si>
  <si>
    <t>μ 86</t>
  </si>
  <si>
    <t>μ 87</t>
  </si>
  <si>
    <t>μ 88</t>
  </si>
  <si>
    <t>μ 89</t>
  </si>
  <si>
    <t>μ 90</t>
  </si>
  <si>
    <t>μ 91</t>
  </si>
  <si>
    <t>μ 92</t>
  </si>
  <si>
    <t>μ 93</t>
  </si>
  <si>
    <t>μ 94</t>
  </si>
  <si>
    <t>μ 95</t>
  </si>
  <si>
    <t>μ 96</t>
  </si>
  <si>
    <t>μ 97</t>
  </si>
  <si>
    <t>μ 98</t>
  </si>
  <si>
    <t>μ 99</t>
  </si>
  <si>
    <t>Mic</t>
  </si>
  <si>
    <t>Mon</t>
  </si>
  <si>
    <t>α Mon</t>
  </si>
  <si>
    <t>β Mon</t>
  </si>
  <si>
    <t>γ Mon</t>
  </si>
  <si>
    <t>δ Mon</t>
  </si>
  <si>
    <t>ε Mon</t>
  </si>
  <si>
    <t>ζ Mon</t>
  </si>
  <si>
    <t>ngc 40</t>
  </si>
  <si>
    <t>ngc 128</t>
  </si>
  <si>
    <t>ngc 134</t>
  </si>
  <si>
    <t>ngc 147</t>
  </si>
  <si>
    <t>ngc 157</t>
  </si>
  <si>
    <t>ngc 185</t>
  </si>
  <si>
    <t>ngc 246</t>
  </si>
  <si>
    <t>ngc 247</t>
  </si>
  <si>
    <t>ngc 253</t>
  </si>
  <si>
    <t>ngc 278</t>
  </si>
  <si>
    <t>ngc 281</t>
  </si>
  <si>
    <t>ngc 288</t>
  </si>
  <si>
    <t>ngc 404</t>
  </si>
  <si>
    <t>ngc 457</t>
  </si>
  <si>
    <t>ngc 488</t>
  </si>
  <si>
    <t>ngc 524</t>
  </si>
  <si>
    <t>ngc 584</t>
  </si>
  <si>
    <t>ngc 660</t>
  </si>
  <si>
    <t>ngc 663</t>
  </si>
  <si>
    <t>ngc 720</t>
  </si>
  <si>
    <t>ngc 752</t>
  </si>
  <si>
    <t>ngc 772</t>
  </si>
  <si>
    <t>ngc 812</t>
  </si>
  <si>
    <t>ngc 869</t>
  </si>
  <si>
    <t>ngc 884</t>
  </si>
  <si>
    <t>ngc 890</t>
  </si>
  <si>
    <t>ngc 891</t>
  </si>
  <si>
    <t>ngc 908</t>
  </si>
  <si>
    <t>ngc 925</t>
  </si>
  <si>
    <t>ngc 936</t>
  </si>
  <si>
    <t>ngc 988</t>
  </si>
  <si>
    <t>ngc 1023</t>
  </si>
  <si>
    <t>ngc 1042</t>
  </si>
  <si>
    <t>ngc 1052</t>
  </si>
  <si>
    <t>ngc 1055</t>
  </si>
  <si>
    <t>ngc 1084</t>
  </si>
  <si>
    <t>ngc 1087</t>
  </si>
  <si>
    <t>ngc 1090</t>
  </si>
  <si>
    <t>ngc 1232</t>
  </si>
  <si>
    <t>ngc 1297</t>
  </si>
  <si>
    <t>ngc 1300</t>
  </si>
  <si>
    <t>ngc 1332</t>
  </si>
  <si>
    <t>ngc 1400</t>
  </si>
  <si>
    <t>ngc 1407</t>
  </si>
  <si>
    <t>ngc 1499</t>
  </si>
  <si>
    <t>ngc 1501</t>
  </si>
  <si>
    <t>ngc 1514</t>
  </si>
  <si>
    <t>ngc 1535</t>
  </si>
  <si>
    <t>ngc 1600</t>
  </si>
  <si>
    <t>ngc 1637</t>
  </si>
  <si>
    <t>ngc 1647</t>
  </si>
  <si>
    <t>ngc 1662</t>
  </si>
  <si>
    <t>ngc 1857</t>
  </si>
  <si>
    <t>ngc 1907</t>
  </si>
  <si>
    <t>ngc 1964</t>
  </si>
  <si>
    <t>ngc 2022</t>
  </si>
  <si>
    <t>ngc 2071</t>
  </si>
  <si>
    <t>ngc 2196</t>
  </si>
  <si>
    <t>ngc 2232</t>
  </si>
  <si>
    <t>ngc 2239</t>
  </si>
  <si>
    <t>ngc 2264</t>
  </si>
  <si>
    <t>ngc 2276</t>
  </si>
  <si>
    <t>ngc 2300</t>
  </si>
  <si>
    <t>ngc 2336</t>
  </si>
  <si>
    <t>ngc 2371</t>
  </si>
  <si>
    <t>ngc 2392</t>
  </si>
  <si>
    <t>ngc 2403</t>
  </si>
  <si>
    <t>ngc 2438</t>
  </si>
  <si>
    <t>ngc 2613</t>
  </si>
  <si>
    <t>ngc 2683</t>
  </si>
  <si>
    <t>ngc 2768</t>
  </si>
  <si>
    <t>ngc 2841</t>
  </si>
  <si>
    <t>ngc 2903</t>
  </si>
  <si>
    <t>ngc 2976</t>
  </si>
  <si>
    <t>ngc 2997</t>
  </si>
  <si>
    <t>ngc 3077</t>
  </si>
  <si>
    <t>ngc 3109</t>
  </si>
  <si>
    <t>ngc 3115</t>
  </si>
  <si>
    <t>ngc 3166</t>
  </si>
  <si>
    <t>ngc 3169</t>
  </si>
  <si>
    <t>ngc 3184</t>
  </si>
  <si>
    <t>ngc 3185</t>
  </si>
  <si>
    <t>ngc 3190</t>
  </si>
  <si>
    <t>ngc 3193</t>
  </si>
  <si>
    <t>ngc 3198</t>
  </si>
  <si>
    <t>ngc 3227</t>
  </si>
  <si>
    <t>ngc 3239</t>
  </si>
  <si>
    <t>ngc 3242</t>
  </si>
  <si>
    <t>ngc 3319</t>
  </si>
  <si>
    <t>ngc 3338</t>
  </si>
  <si>
    <t>ngc 3344</t>
  </si>
  <si>
    <t>ngc 3371</t>
  </si>
  <si>
    <t>ngc 3377</t>
  </si>
  <si>
    <t>ngc 3384</t>
  </si>
  <si>
    <t>ngc 3412</t>
  </si>
  <si>
    <t>ngc 3414</t>
  </si>
  <si>
    <t>ngc 3486</t>
  </si>
  <si>
    <t>ngc 3489</t>
  </si>
  <si>
    <t>ngc 3504</t>
  </si>
  <si>
    <t>ngc 3521</t>
  </si>
  <si>
    <t>ngc 3593</t>
  </si>
  <si>
    <t>ngc 3607</t>
  </si>
  <si>
    <t>ngc 3608</t>
  </si>
  <si>
    <t>ngc 3621</t>
  </si>
  <si>
    <t>ngc 3626</t>
  </si>
  <si>
    <t>ngc 3628</t>
  </si>
  <si>
    <t>ngc 3640</t>
  </si>
  <si>
    <t>ngc 3646</t>
  </si>
  <si>
    <t>ngc 3675</t>
  </si>
  <si>
    <t>ngc 3718</t>
  </si>
  <si>
    <t>ngc 3810</t>
  </si>
  <si>
    <t>ngc 3842</t>
  </si>
  <si>
    <t>ngc 3923</t>
  </si>
  <si>
    <t>ngc 3941</t>
  </si>
  <si>
    <t>ngc 4038</t>
  </si>
  <si>
    <t>ngc 4039</t>
  </si>
  <si>
    <t>ngc 4125</t>
  </si>
  <si>
    <t>ngc 4151</t>
  </si>
  <si>
    <t>ngc 4214</t>
  </si>
  <si>
    <t>ngc 4236</t>
  </si>
  <si>
    <t>ngc 4244</t>
  </si>
  <si>
    <t>ngc 4365</t>
  </si>
  <si>
    <t>ngc 4438</t>
  </si>
  <si>
    <t>ngc 4449</t>
  </si>
  <si>
    <t>ngc 4490</t>
  </si>
  <si>
    <t>ngc 4494</t>
  </si>
  <si>
    <t>ngc 4526</t>
  </si>
  <si>
    <t>ngc 4559</t>
  </si>
  <si>
    <t>ngc 4565</t>
  </si>
  <si>
    <t>ngc 4589</t>
  </si>
  <si>
    <t>ngc 4605</t>
  </si>
  <si>
    <t>ngc 4618</t>
  </si>
  <si>
    <t>ngc 4631</t>
  </si>
  <si>
    <t>ngc 4636</t>
  </si>
  <si>
    <t>ngc 4656</t>
  </si>
  <si>
    <t>ngc 4697</t>
  </si>
  <si>
    <t>ngc 4699</t>
  </si>
  <si>
    <t>ngc 4725</t>
  </si>
  <si>
    <t>ngc 4753</t>
  </si>
  <si>
    <t>ngc 4762</t>
  </si>
  <si>
    <t>ngc 5005</t>
  </si>
  <si>
    <t>ngc 5033</t>
  </si>
  <si>
    <t>ngc 5053</t>
  </si>
  <si>
    <t>ngc 5102</t>
  </si>
  <si>
    <t>ngc 5248</t>
  </si>
  <si>
    <t>ngc 5253</t>
  </si>
  <si>
    <t>ngc 5350</t>
  </si>
  <si>
    <t>ngc 5353</t>
  </si>
  <si>
    <t>ngc 5354</t>
  </si>
  <si>
    <t>ngc 5363</t>
  </si>
  <si>
    <t>ngc 5364</t>
  </si>
  <si>
    <t>ngc 5371</t>
  </si>
  <si>
    <t>ngc 5466</t>
  </si>
  <si>
    <t>ngc 5474</t>
  </si>
  <si>
    <t>ngc 5566</t>
  </si>
  <si>
    <t>ngc 5634</t>
  </si>
  <si>
    <t>ngc 5694</t>
  </si>
  <si>
    <t>ngc 5746</t>
  </si>
  <si>
    <t>ngc 5813</t>
  </si>
  <si>
    <t>ngc 5824</t>
  </si>
  <si>
    <t>ngc 5846</t>
  </si>
  <si>
    <t>ngc 5850</t>
  </si>
  <si>
    <t>ngc 5866</t>
  </si>
  <si>
    <t>ngc 5897</t>
  </si>
  <si>
    <t>ngc 5907</t>
  </si>
  <si>
    <t>ngc 5982</t>
  </si>
  <si>
    <t>ngc 5985</t>
  </si>
  <si>
    <t>ngc 6181</t>
  </si>
  <si>
    <t>ngc 6207</t>
  </si>
  <si>
    <t>ngc 6210</t>
  </si>
  <si>
    <t>ngc 6229</t>
  </si>
  <si>
    <t>ngc 6293</t>
  </si>
  <si>
    <t>ngc 6302</t>
  </si>
  <si>
    <t>ngc 6304</t>
  </si>
  <si>
    <t>ngc 6309</t>
  </si>
  <si>
    <t>ngc 6316</t>
  </si>
  <si>
    <t>ngc 6356</t>
  </si>
  <si>
    <t>ngc 6366</t>
  </si>
  <si>
    <t>ngc 6369</t>
  </si>
  <si>
    <t>ngc 6374</t>
  </si>
  <si>
    <t>ngc 6383</t>
  </si>
  <si>
    <t>ngc 6384</t>
  </si>
  <si>
    <t>ngc 6503</t>
  </si>
  <si>
    <t>ngc 6539</t>
  </si>
  <si>
    <t>ngc 6543</t>
  </si>
  <si>
    <t>ngc 6572</t>
  </si>
  <si>
    <t>ngc 6624</t>
  </si>
  <si>
    <t>ngc 6652</t>
  </si>
  <si>
    <t>ngc 6712</t>
  </si>
  <si>
    <t>ngc 6755</t>
  </si>
  <si>
    <t>ngc 6760</t>
  </si>
  <si>
    <t>ngc 6781</t>
  </si>
  <si>
    <t>ngc 6790</t>
  </si>
  <si>
    <t>ngc 6791</t>
  </si>
  <si>
    <t>ngc 6818</t>
  </si>
  <si>
    <t>ngc 6822</t>
  </si>
  <si>
    <t>ngc 6826</t>
  </si>
  <si>
    <t>ngc 6884</t>
  </si>
  <si>
    <t>ngc 6885</t>
  </si>
  <si>
    <t>ngc 6886</t>
  </si>
  <si>
    <t>ngc 6891</t>
  </si>
  <si>
    <t>ngc 6905</t>
  </si>
  <si>
    <t>ngc 6939</t>
  </si>
  <si>
    <t>ngc 6946</t>
  </si>
  <si>
    <t>ngc 7008</t>
  </si>
  <si>
    <t>ngc 7009</t>
  </si>
  <si>
    <t>ngc 7026</t>
  </si>
  <si>
    <t>ngc 7027</t>
  </si>
  <si>
    <t>ngc 7217</t>
  </si>
  <si>
    <t>ngc 7252</t>
  </si>
  <si>
    <t>ngc 7293</t>
  </si>
  <si>
    <t>ngc 7314</t>
  </si>
  <si>
    <t>ngc 7331</t>
  </si>
  <si>
    <t>ngc 7332</t>
  </si>
  <si>
    <t>ngc 7377</t>
  </si>
  <si>
    <t>ngc 7448</t>
  </si>
  <si>
    <t>ngc 7454</t>
  </si>
  <si>
    <t>ngc 7457</t>
  </si>
  <si>
    <t>ngc 7479</t>
  </si>
  <si>
    <t>ngc 7507</t>
  </si>
  <si>
    <t>ngc 7606</t>
  </si>
  <si>
    <t>ngc 7619</t>
  </si>
  <si>
    <t>ngc 7626</t>
  </si>
  <si>
    <t>ngc 7640</t>
  </si>
  <si>
    <t>ngc 7662</t>
  </si>
  <si>
    <t>ngc 7723</t>
  </si>
  <si>
    <t>ngc 7727</t>
  </si>
  <si>
    <t>ngc 7741</t>
  </si>
  <si>
    <t>ngc 7769</t>
  </si>
  <si>
    <t>ngc 7771</t>
  </si>
  <si>
    <t>ngc 7785</t>
  </si>
  <si>
    <t>ngc 7793</t>
  </si>
  <si>
    <t>ngc 7814</t>
  </si>
  <si>
    <t>ngc 7817</t>
  </si>
  <si>
    <t>Ser</t>
  </si>
  <si>
    <t>α Ser</t>
  </si>
  <si>
    <t>β Ser</t>
  </si>
  <si>
    <t>γ Ser</t>
  </si>
  <si>
    <t>δ Ser</t>
  </si>
  <si>
    <t>ε Ser</t>
  </si>
  <si>
    <t>η Ser</t>
  </si>
  <si>
    <t>θ Ser</t>
  </si>
  <si>
    <t>ι Ser</t>
  </si>
  <si>
    <t>κ Ser</t>
  </si>
  <si>
    <t>μ Ser</t>
  </si>
  <si>
    <t>ν Ser</t>
  </si>
  <si>
    <t>ξ Ser</t>
  </si>
  <si>
    <t>ρ Ser</t>
  </si>
  <si>
    <t>Oph</t>
  </si>
  <si>
    <t>67 Oph</t>
  </si>
  <si>
    <t>68 Oph</t>
  </si>
  <si>
    <t>70 Oph</t>
  </si>
  <si>
    <t>α Oph</t>
  </si>
  <si>
    <t>β Oph</t>
  </si>
  <si>
    <t>γ Oph</t>
  </si>
  <si>
    <t>δ Oph</t>
  </si>
  <si>
    <t>ε Oph</t>
  </si>
  <si>
    <t>ζ Oph</t>
  </si>
  <si>
    <t>η Oph</t>
  </si>
  <si>
    <t>θ Oph</t>
  </si>
  <si>
    <t>ν Oph</t>
  </si>
  <si>
    <t>ρ Oph</t>
  </si>
  <si>
    <t>τ Oph</t>
  </si>
  <si>
    <t>Vir</t>
  </si>
  <si>
    <t>109 Vir</t>
  </si>
  <si>
    <t>α Vir</t>
  </si>
  <si>
    <t>β Vir</t>
  </si>
  <si>
    <t>γ Vir</t>
  </si>
  <si>
    <t>δ Vir</t>
  </si>
  <si>
    <t>ε Vir</t>
  </si>
  <si>
    <t>ζ Vir</t>
  </si>
  <si>
    <t>η Vir</t>
  </si>
  <si>
    <t>θ Vir</t>
  </si>
  <si>
    <t>ι Vir</t>
  </si>
  <si>
    <t>κ Vir</t>
  </si>
  <si>
    <t>μ Vir</t>
  </si>
  <si>
    <t>ν Vir</t>
  </si>
  <si>
    <t>ο Vir</t>
  </si>
  <si>
    <t>π Vir</t>
  </si>
  <si>
    <t>τ Vir</t>
  </si>
  <si>
    <t>Per</t>
  </si>
  <si>
    <t>α Per</t>
  </si>
  <si>
    <t>β Per</t>
  </si>
  <si>
    <t>γ Per</t>
  </si>
  <si>
    <t>δ Per</t>
  </si>
  <si>
    <t>ε Per</t>
  </si>
  <si>
    <t>ζ Per</t>
  </si>
  <si>
    <t>η Per</t>
  </si>
  <si>
    <t>ν Per</t>
  </si>
  <si>
    <t>ξ Per</t>
  </si>
  <si>
    <t>ο Per</t>
  </si>
  <si>
    <t>ρ Per</t>
  </si>
  <si>
    <t>φ Per</t>
  </si>
  <si>
    <t>Peg</t>
  </si>
  <si>
    <t>α Peg</t>
  </si>
  <si>
    <t>β Peg</t>
  </si>
  <si>
    <t>γ Peg</t>
  </si>
  <si>
    <t>ε Peg</t>
  </si>
  <si>
    <t>ζ Peg</t>
  </si>
  <si>
    <t>η Peg</t>
  </si>
  <si>
    <t>θ Peg</t>
  </si>
  <si>
    <t>λ Peg</t>
  </si>
  <si>
    <t>μ Peg</t>
  </si>
  <si>
    <t>π Peg</t>
  </si>
  <si>
    <t>τ Peg</t>
  </si>
  <si>
    <t>υ Peg</t>
  </si>
  <si>
    <t>φ Peg</t>
  </si>
  <si>
    <t>χ Peg</t>
  </si>
  <si>
    <t>Col</t>
  </si>
  <si>
    <t>α Col</t>
  </si>
  <si>
    <t>β Col</t>
  </si>
  <si>
    <t>δ Col</t>
  </si>
  <si>
    <t>ε Col</t>
  </si>
  <si>
    <t>Pup</t>
  </si>
  <si>
    <t>ξ Pup</t>
  </si>
  <si>
    <t>ρ Pup</t>
  </si>
  <si>
    <t>Pyx</t>
  </si>
  <si>
    <t>Lac</t>
  </si>
  <si>
    <t>α Lac</t>
  </si>
  <si>
    <t>β Lac</t>
  </si>
  <si>
    <t>Sco</t>
  </si>
  <si>
    <t>α Sco</t>
  </si>
  <si>
    <t>β Sco</t>
  </si>
  <si>
    <t>δ Sco</t>
  </si>
  <si>
    <t>ε Sco</t>
  </si>
  <si>
    <t>ζ Sco</t>
  </si>
  <si>
    <t>η Sco</t>
  </si>
  <si>
    <t>θ Sco</t>
  </si>
  <si>
    <t>κ Sco</t>
  </si>
  <si>
    <t>λ Sco</t>
  </si>
  <si>
    <t>μ Sco</t>
  </si>
  <si>
    <t>ν Sco</t>
  </si>
  <si>
    <t>π Sco</t>
  </si>
  <si>
    <t>σ Sco</t>
  </si>
  <si>
    <t>τ Sco</t>
  </si>
  <si>
    <t>υ Sco</t>
  </si>
  <si>
    <t>α Cra</t>
  </si>
  <si>
    <t>β Cra</t>
  </si>
  <si>
    <t>γ Cra</t>
  </si>
  <si>
    <t>Tau</t>
  </si>
  <si>
    <t>α Tau</t>
  </si>
  <si>
    <t>β Tau</t>
  </si>
  <si>
    <t>ζ Tau</t>
  </si>
  <si>
    <t>η Tau</t>
  </si>
  <si>
    <t>λ Tau</t>
  </si>
  <si>
    <t>Sgr</t>
  </si>
  <si>
    <t>α Sgr</t>
  </si>
  <si>
    <t>γ Sgr</t>
  </si>
  <si>
    <t>δ Sgr</t>
  </si>
  <si>
    <t>ε Sgr</t>
  </si>
  <si>
    <t>ζ Sgr</t>
  </si>
  <si>
    <t>η Sgr</t>
  </si>
  <si>
    <t>λ Sgr</t>
  </si>
  <si>
    <t>ξ Sgr</t>
  </si>
  <si>
    <t>ο Sgr</t>
  </si>
  <si>
    <t>π Sgr</t>
  </si>
  <si>
    <t>σ Sgr</t>
  </si>
  <si>
    <t>τ Sgr</t>
  </si>
  <si>
    <t>φ Sgr</t>
  </si>
  <si>
    <t>Tri</t>
  </si>
  <si>
    <t>α Tri</t>
  </si>
  <si>
    <t>β Tri</t>
  </si>
  <si>
    <t>γ Tri</t>
  </si>
  <si>
    <t>Car</t>
  </si>
  <si>
    <t>Aqr</t>
  </si>
  <si>
    <t>α Aqr</t>
  </si>
  <si>
    <t>β Aqr</t>
  </si>
  <si>
    <t>γ Aqr</t>
  </si>
  <si>
    <t>δ Aqr</t>
  </si>
  <si>
    <t>ε Aqr</t>
  </si>
  <si>
    <t>ζ Aqr</t>
  </si>
  <si>
    <t>η Aqr</t>
  </si>
  <si>
    <t>θ Aqr</t>
  </si>
  <si>
    <t>κ Aqr</t>
  </si>
  <si>
    <t>λ Aqr</t>
  </si>
  <si>
    <t>ν Aqr</t>
  </si>
  <si>
    <t>π Aqr</t>
  </si>
  <si>
    <t>φ Aqr</t>
  </si>
  <si>
    <t>ψ1 Aqr</t>
  </si>
  <si>
    <t>ψ2 Aqr</t>
  </si>
  <si>
    <t>ω2 Aqr</t>
  </si>
  <si>
    <t>Hya</t>
  </si>
  <si>
    <t>α Hya</t>
  </si>
  <si>
    <t>β Hya</t>
  </si>
  <si>
    <t>γ Hya</t>
  </si>
  <si>
    <t>δ Hya</t>
  </si>
  <si>
    <t>ε Hya</t>
  </si>
  <si>
    <t>ζ Hya</t>
  </si>
  <si>
    <t>θ Hya</t>
  </si>
  <si>
    <t>ι Hya</t>
  </si>
  <si>
    <t>λ Hya</t>
  </si>
  <si>
    <t>ν Hya</t>
  </si>
  <si>
    <t>ξ Hya</t>
  </si>
  <si>
    <t>π Hya</t>
  </si>
  <si>
    <t>υ Hya</t>
  </si>
  <si>
    <t>υ1 Hya</t>
  </si>
  <si>
    <t>ψ Hya</t>
  </si>
  <si>
    <t>Phe</t>
  </si>
  <si>
    <t>Ori</t>
  </si>
  <si>
    <t>α Ori</t>
  </si>
  <si>
    <t>β Ori</t>
  </si>
  <si>
    <t>γ Ori</t>
  </si>
  <si>
    <t>δ Ori</t>
  </si>
  <si>
    <t>ε Ori</t>
  </si>
  <si>
    <t>ζ Ori</t>
  </si>
  <si>
    <t>η Ori</t>
  </si>
  <si>
    <t>θ Ori</t>
  </si>
  <si>
    <t>κ Ori</t>
  </si>
  <si>
    <t>λ Ori</t>
  </si>
  <si>
    <t>σ Ori</t>
  </si>
  <si>
    <t>Είσοδος</t>
  </si>
  <si>
    <t>ΑΠΟ</t>
  </si>
  <si>
    <t>ΠΡΟΣ</t>
  </si>
  <si>
    <r>
      <rPr>
        <sz val="11"/>
        <color rgb="FFFF0000"/>
        <rFont val="Times New Roman"/>
        <family val="1"/>
        <charset val="161"/>
      </rPr>
      <t>Υπενθύμιση!</t>
    </r>
    <r>
      <rPr>
        <sz val="11"/>
        <color theme="1"/>
        <rFont val="Times New Roman"/>
        <family val="1"/>
        <charset val="161"/>
      </rPr>
      <t xml:space="preserve"> Για να ενεργοποιηθεί η οθόνη προγραμματισμού</t>
    </r>
  </si>
  <si>
    <t>Οθόνη προγραμματισμού</t>
  </si>
  <si>
    <t>ΕΤΟΣ</t>
  </si>
  <si>
    <t>Αστερισμοί</t>
  </si>
  <si>
    <t>Έξοδος</t>
  </si>
  <si>
    <t>ΑΠO</t>
  </si>
  <si>
    <t>Είσοδος προγράμματος</t>
  </si>
  <si>
    <t>Είσοδος καταλόγου Αστερισμών</t>
  </si>
  <si>
    <t>isnuber</t>
  </si>
  <si>
    <t>μ</t>
  </si>
  <si>
    <t>είσοδος</t>
  </si>
  <si>
    <t>isnumber</t>
  </si>
  <si>
    <t>Isnumber</t>
  </si>
  <si>
    <t>Δράκος</t>
  </si>
  <si>
    <t>Πρόγραμμα εξόδου Καταλόγου 1</t>
  </si>
  <si>
    <r>
      <t xml:space="preserve">                               ΑΠO          </t>
    </r>
    <r>
      <rPr>
        <b/>
        <sz val="11"/>
        <rFont val="Times New Roman"/>
        <family val="1"/>
        <charset val="161"/>
      </rPr>
      <t>Είσοδος</t>
    </r>
  </si>
  <si>
    <t>Ορθή Αναφορά</t>
  </si>
  <si>
    <t xml:space="preserve">                           Απόκλιση</t>
  </si>
  <si>
    <t xml:space="preserve">                               Κείμενα</t>
  </si>
  <si>
    <t>sge</t>
  </si>
  <si>
    <t>IC</t>
  </si>
  <si>
    <t>NGC</t>
  </si>
  <si>
    <t>Grb</t>
  </si>
  <si>
    <t>Cra</t>
  </si>
  <si>
    <t>HD</t>
  </si>
  <si>
    <r>
      <t xml:space="preserve">                             ΠΡΟΣ          </t>
    </r>
    <r>
      <rPr>
        <b/>
        <sz val="11"/>
        <rFont val="Times New Roman"/>
        <family val="1"/>
        <charset val="161"/>
      </rPr>
      <t>Είσοδος</t>
    </r>
  </si>
  <si>
    <t xml:space="preserve">                                       Εξοδος</t>
  </si>
  <si>
    <t>Έξοδος καταλόγου Αστερισμών</t>
  </si>
  <si>
    <t>Ελεύθερες Θέσεις</t>
  </si>
  <si>
    <r>
      <t xml:space="preserve">ΑΑ Καταχώρησης του </t>
    </r>
    <r>
      <rPr>
        <sz val="11"/>
        <color rgb="FFC00000"/>
        <rFont val="Times New Roman"/>
        <family val="1"/>
        <charset val="161"/>
      </rPr>
      <t>ΑΠO</t>
    </r>
  </si>
  <si>
    <t xml:space="preserve">ΑΑ Καταχώρησης του ΠΡΟΣ </t>
  </si>
  <si>
    <r>
      <rPr>
        <b/>
        <sz val="11"/>
        <color rgb="FF00B050"/>
        <rFont val="Times New Roman"/>
        <family val="1"/>
        <charset val="161"/>
      </rPr>
      <t xml:space="preserve">EQ </t>
    </r>
    <r>
      <rPr>
        <b/>
        <sz val="11"/>
        <color rgb="FF0070C0"/>
        <rFont val="Times New Roman"/>
        <family val="1"/>
        <charset val="161"/>
      </rPr>
      <t xml:space="preserve">Δ </t>
    </r>
    <r>
      <rPr>
        <b/>
        <sz val="11"/>
        <color rgb="FFC00000"/>
        <rFont val="Times New Roman"/>
        <family val="1"/>
        <charset val="161"/>
      </rPr>
      <t xml:space="preserve">ΑΠO </t>
    </r>
    <r>
      <rPr>
        <b/>
        <sz val="11"/>
        <rFont val="Times New Roman"/>
        <family val="1"/>
        <charset val="161"/>
      </rPr>
      <t xml:space="preserve">- </t>
    </r>
    <r>
      <rPr>
        <b/>
        <sz val="11"/>
        <color rgb="FF00B050"/>
        <rFont val="Times New Roman"/>
        <family val="1"/>
        <charset val="161"/>
      </rPr>
      <t>ΠΡΟΣ</t>
    </r>
  </si>
  <si>
    <t>Ενεργή οθ</t>
  </si>
  <si>
    <r>
      <t>Νυχτερινή οθόνη α). Επιλέξτε</t>
    </r>
    <r>
      <rPr>
        <b/>
        <sz val="11"/>
        <color rgb="FF00B050"/>
        <rFont val="Times New Roman"/>
        <family val="1"/>
        <charset val="161"/>
      </rPr>
      <t xml:space="preserve"> </t>
    </r>
    <r>
      <rPr>
        <b/>
        <sz val="11"/>
        <color rgb="FFC00000"/>
        <rFont val="Times New Roman"/>
        <family val="1"/>
        <charset val="161"/>
      </rPr>
      <t>1</t>
    </r>
  </si>
  <si>
    <r>
      <rPr>
        <b/>
        <sz val="11"/>
        <color rgb="FFC00000"/>
        <rFont val="Times New Roman"/>
        <family val="1"/>
        <charset val="161"/>
      </rPr>
      <t>ΑΠO</t>
    </r>
    <r>
      <rPr>
        <b/>
        <sz val="11"/>
        <color rgb="FF00B050"/>
        <rFont val="Times New Roman"/>
        <family val="1"/>
        <charset val="161"/>
      </rPr>
      <t xml:space="preserve"> </t>
    </r>
    <r>
      <rPr>
        <b/>
        <sz val="11"/>
        <color theme="9" tint="-0.249977111117893"/>
        <rFont val="Times New Roman"/>
        <family val="1"/>
        <charset val="161"/>
      </rPr>
      <t>Ορθή Αναφορά</t>
    </r>
    <r>
      <rPr>
        <b/>
        <sz val="11"/>
        <color rgb="FFC00000"/>
        <rFont val="Times New Roman"/>
        <family val="1"/>
        <charset val="161"/>
      </rPr>
      <t xml:space="preserve"> </t>
    </r>
    <r>
      <rPr>
        <b/>
        <sz val="14"/>
        <color rgb="FFC00000"/>
        <rFont val="Times New Roman"/>
        <family val="1"/>
        <charset val="161"/>
      </rPr>
      <t>α</t>
    </r>
    <r>
      <rPr>
        <b/>
        <sz val="11"/>
        <color theme="1"/>
        <rFont val="Times New Roman"/>
        <family val="1"/>
        <charset val="161"/>
      </rPr>
      <t xml:space="preserve"> </t>
    </r>
  </si>
  <si>
    <r>
      <rPr>
        <b/>
        <sz val="11"/>
        <color rgb="FF00B050"/>
        <rFont val="Times New Roman"/>
        <family val="1"/>
        <charset val="161"/>
      </rPr>
      <t>ΠΡΟΣ</t>
    </r>
    <r>
      <rPr>
        <b/>
        <sz val="11"/>
        <color theme="1"/>
        <rFont val="Times New Roman"/>
        <family val="1"/>
        <charset val="161"/>
      </rPr>
      <t xml:space="preserve"> </t>
    </r>
    <r>
      <rPr>
        <b/>
        <sz val="11"/>
        <color theme="9" tint="-0.249977111117893"/>
        <rFont val="Times New Roman"/>
        <family val="1"/>
        <charset val="161"/>
      </rPr>
      <t>Ορθή Αναφορά</t>
    </r>
    <r>
      <rPr>
        <b/>
        <sz val="11"/>
        <color rgb="FFC00000"/>
        <rFont val="Times New Roman"/>
        <family val="1"/>
        <charset val="161"/>
      </rPr>
      <t xml:space="preserve"> </t>
    </r>
    <r>
      <rPr>
        <b/>
        <sz val="14"/>
        <color rgb="FF00B050"/>
        <rFont val="Times New Roman"/>
        <family val="1"/>
        <charset val="161"/>
      </rPr>
      <t>α</t>
    </r>
    <r>
      <rPr>
        <b/>
        <sz val="11"/>
        <color theme="1"/>
        <rFont val="Times New Roman"/>
        <family val="1"/>
        <charset val="161"/>
      </rPr>
      <t xml:space="preserve"> </t>
    </r>
  </si>
  <si>
    <t>ΑΠΟΤΕΛΕΣΜΑ</t>
  </si>
  <si>
    <t>ΛΕΠΤΑ</t>
  </si>
  <si>
    <t>Από ααα 0 έως ααα 9</t>
  </si>
  <si>
    <t>Στροφές</t>
  </si>
  <si>
    <t>Κενές θέσεις</t>
  </si>
  <si>
    <r>
      <rPr>
        <b/>
        <sz val="11"/>
        <color rgb="FFC00000"/>
        <rFont val="Times New Roman"/>
        <family val="1"/>
        <charset val="161"/>
      </rPr>
      <t>ΑΠO</t>
    </r>
    <r>
      <rPr>
        <b/>
        <sz val="11"/>
        <color theme="1"/>
        <rFont val="Times New Roman"/>
        <family val="1"/>
        <charset val="161"/>
      </rPr>
      <t xml:space="preserve"> </t>
    </r>
    <r>
      <rPr>
        <b/>
        <sz val="11"/>
        <color theme="9" tint="-0.249977111117893"/>
        <rFont val="Times New Roman"/>
        <family val="1"/>
        <charset val="161"/>
      </rPr>
      <t>Απόκλιση</t>
    </r>
    <r>
      <rPr>
        <b/>
        <sz val="11"/>
        <color theme="1"/>
        <rFont val="Times New Roman"/>
        <family val="1"/>
        <charset val="161"/>
      </rPr>
      <t xml:space="preserve"> </t>
    </r>
    <r>
      <rPr>
        <b/>
        <sz val="14"/>
        <color rgb="FFC00000"/>
        <rFont val="Times New Roman"/>
        <family val="1"/>
        <charset val="161"/>
      </rPr>
      <t>δ</t>
    </r>
  </si>
  <si>
    <r>
      <rPr>
        <b/>
        <sz val="11"/>
        <color rgb="FF00B050"/>
        <rFont val="Times New Roman"/>
        <family val="1"/>
        <charset val="161"/>
      </rPr>
      <t>ΠΡΟΣ</t>
    </r>
    <r>
      <rPr>
        <b/>
        <sz val="11"/>
        <color theme="1"/>
        <rFont val="Times New Roman"/>
        <family val="1"/>
        <charset val="161"/>
      </rPr>
      <t xml:space="preserve"> </t>
    </r>
    <r>
      <rPr>
        <b/>
        <sz val="11"/>
        <color theme="9" tint="-0.249977111117893"/>
        <rFont val="Times New Roman"/>
        <family val="1"/>
        <charset val="161"/>
      </rPr>
      <t>Απόκλιση</t>
    </r>
    <r>
      <rPr>
        <b/>
        <sz val="11"/>
        <color theme="1"/>
        <rFont val="Times New Roman"/>
        <family val="1"/>
        <charset val="161"/>
      </rPr>
      <t xml:space="preserve"> </t>
    </r>
    <r>
      <rPr>
        <b/>
        <sz val="14"/>
        <color rgb="FF00B050"/>
        <rFont val="Times New Roman"/>
        <family val="1"/>
        <charset val="161"/>
      </rPr>
      <t>δ</t>
    </r>
  </si>
  <si>
    <t xml:space="preserve">                     Enter</t>
  </si>
  <si>
    <t>Αστερισμός (Ολογράφως)</t>
  </si>
  <si>
    <t xml:space="preserve">          Constelatio</t>
  </si>
  <si>
    <t>Λογισμικό επιλογής Οθονών</t>
  </si>
  <si>
    <r>
      <t xml:space="preserve">EQ </t>
    </r>
    <r>
      <rPr>
        <b/>
        <sz val="11"/>
        <color rgb="FF0070C0"/>
        <rFont val="Times New Roman"/>
        <family val="1"/>
        <charset val="161"/>
      </rPr>
      <t xml:space="preserve">Δ </t>
    </r>
    <r>
      <rPr>
        <b/>
        <sz val="11"/>
        <color rgb="FFC00000"/>
        <rFont val="Times New Roman"/>
        <family val="1"/>
        <charset val="161"/>
      </rPr>
      <t xml:space="preserve">ΑΠO </t>
    </r>
    <r>
      <rPr>
        <b/>
        <sz val="11"/>
        <rFont val="Times New Roman"/>
        <family val="1"/>
        <charset val="161"/>
      </rPr>
      <t xml:space="preserve">- </t>
    </r>
    <r>
      <rPr>
        <b/>
        <sz val="11"/>
        <color rgb="FF00B050"/>
        <rFont val="Times New Roman"/>
        <family val="1"/>
        <charset val="161"/>
      </rPr>
      <t>ΠΡΟΣ</t>
    </r>
  </si>
  <si>
    <r>
      <t xml:space="preserve">Νυχτερινή οθόνη β). Επιλέξτε </t>
    </r>
    <r>
      <rPr>
        <b/>
        <sz val="11"/>
        <color rgb="FF24241A"/>
        <rFont val="Times New Roman"/>
        <family val="1"/>
        <charset val="161"/>
      </rPr>
      <t>2</t>
    </r>
    <r>
      <rPr>
        <sz val="11"/>
        <color rgb="FF24241A"/>
        <rFont val="Times New Roman"/>
        <family val="1"/>
        <charset val="161"/>
      </rPr>
      <t xml:space="preserve">  </t>
    </r>
  </si>
  <si>
    <r>
      <rPr>
        <b/>
        <sz val="11"/>
        <color rgb="FFC00000"/>
        <rFont val="Times New Roman"/>
        <family val="1"/>
        <charset val="161"/>
      </rPr>
      <t>ΑΠO</t>
    </r>
    <r>
      <rPr>
        <b/>
        <sz val="11"/>
        <color theme="1"/>
        <rFont val="Times New Roman"/>
        <family val="1"/>
        <charset val="161"/>
      </rPr>
      <t xml:space="preserve"> Ορθή Αναφορά</t>
    </r>
    <r>
      <rPr>
        <b/>
        <sz val="11"/>
        <color rgb="FFC00000"/>
        <rFont val="Times New Roman"/>
        <family val="1"/>
        <charset val="161"/>
      </rPr>
      <t xml:space="preserve"> </t>
    </r>
    <r>
      <rPr>
        <b/>
        <sz val="14"/>
        <color rgb="FFC00000"/>
        <rFont val="Times New Roman"/>
        <family val="1"/>
        <charset val="161"/>
      </rPr>
      <t>α</t>
    </r>
    <r>
      <rPr>
        <b/>
        <sz val="11"/>
        <color theme="1"/>
        <rFont val="Times New Roman"/>
        <family val="1"/>
        <charset val="161"/>
      </rPr>
      <t xml:space="preserve"> </t>
    </r>
  </si>
  <si>
    <r>
      <rPr>
        <b/>
        <sz val="11"/>
        <color rgb="FF00B050"/>
        <rFont val="Times New Roman"/>
        <family val="1"/>
        <charset val="161"/>
      </rPr>
      <t>ΠΡΟΣ</t>
    </r>
    <r>
      <rPr>
        <b/>
        <sz val="11"/>
        <color theme="1"/>
        <rFont val="Times New Roman"/>
        <family val="1"/>
        <charset val="161"/>
      </rPr>
      <t xml:space="preserve"> Ορθή Αναφορά</t>
    </r>
    <r>
      <rPr>
        <b/>
        <sz val="11"/>
        <color rgb="FFC00000"/>
        <rFont val="Times New Roman"/>
        <family val="1"/>
        <charset val="161"/>
      </rPr>
      <t xml:space="preserve"> </t>
    </r>
    <r>
      <rPr>
        <b/>
        <sz val="14"/>
        <color rgb="FF00B050"/>
        <rFont val="Times New Roman"/>
        <family val="1"/>
        <charset val="161"/>
      </rPr>
      <t>α</t>
    </r>
    <r>
      <rPr>
        <b/>
        <sz val="11"/>
        <color theme="1"/>
        <rFont val="Times New Roman"/>
        <family val="1"/>
        <charset val="161"/>
      </rPr>
      <t xml:space="preserve"> </t>
    </r>
  </si>
  <si>
    <r>
      <rPr>
        <b/>
        <sz val="11"/>
        <color rgb="FFC00000"/>
        <rFont val="Times New Roman"/>
        <family val="1"/>
        <charset val="161"/>
      </rPr>
      <t>ΑΠO</t>
    </r>
    <r>
      <rPr>
        <b/>
        <sz val="11"/>
        <color theme="1"/>
        <rFont val="Times New Roman"/>
        <family val="1"/>
        <charset val="161"/>
      </rPr>
      <t xml:space="preserve"> Απόκλιση </t>
    </r>
    <r>
      <rPr>
        <b/>
        <sz val="14"/>
        <color rgb="FFC00000"/>
        <rFont val="Times New Roman"/>
        <family val="1"/>
        <charset val="161"/>
      </rPr>
      <t>δ</t>
    </r>
  </si>
  <si>
    <r>
      <rPr>
        <b/>
        <sz val="11"/>
        <color rgb="FF00B050"/>
        <rFont val="Times New Roman"/>
        <family val="1"/>
        <charset val="161"/>
      </rPr>
      <t>ΠΡΟΣ</t>
    </r>
    <r>
      <rPr>
        <b/>
        <sz val="11"/>
        <color theme="1"/>
        <rFont val="Times New Roman"/>
        <family val="1"/>
        <charset val="161"/>
      </rPr>
      <t xml:space="preserve"> Απόκλιση </t>
    </r>
    <r>
      <rPr>
        <b/>
        <sz val="14"/>
        <color rgb="FF00B050"/>
        <rFont val="Times New Roman"/>
        <family val="1"/>
        <charset val="161"/>
      </rPr>
      <t>δ</t>
    </r>
  </si>
  <si>
    <t>Βοήθεια</t>
  </si>
  <si>
    <t>Έξοδος προς την Μητρική Οθόνη</t>
  </si>
  <si>
    <t>Επιλογή Οθόνης</t>
  </si>
  <si>
    <r>
      <t xml:space="preserve">ρ σ τ υ φ χ ψ ω </t>
    </r>
    <r>
      <rPr>
        <sz val="11"/>
        <color theme="9" tint="-0.249977111117893"/>
        <rFont val="Times New Roman"/>
        <family val="1"/>
        <charset val="161"/>
      </rPr>
      <t>(Σχόλιο)</t>
    </r>
    <r>
      <rPr>
        <b/>
        <sz val="11"/>
        <color rgb="FF7030A0"/>
        <rFont val="Times New Roman"/>
        <family val="1"/>
        <charset val="161"/>
      </rPr>
      <t xml:space="preserve"> </t>
    </r>
  </si>
  <si>
    <t xml:space="preserve">α β γ δ ε ζ η θ </t>
  </si>
  <si>
    <t xml:space="preserve">ι κ λ μ ν ξ ο π </t>
  </si>
  <si>
    <t xml:space="preserve">ρ σ τ υ φ χ ψ ω </t>
  </si>
  <si>
    <t>Χάρτες</t>
  </si>
  <si>
    <t>Μετατροπή Μοιρών-Ωρών στο δεκαδικό σύστημα &amp; αρίθμηση λαθών καταχώρησης</t>
  </si>
  <si>
    <t xml:space="preserve">Λεπτά </t>
  </si>
  <si>
    <t>Δευτερόλεπτα</t>
  </si>
  <si>
    <r>
      <t>ΑΠO</t>
    </r>
    <r>
      <rPr>
        <b/>
        <sz val="11"/>
        <rFont val="Times New Roman"/>
        <family val="1"/>
        <charset val="161"/>
      </rPr>
      <t xml:space="preserve"> </t>
    </r>
    <r>
      <rPr>
        <sz val="11"/>
        <rFont val="Times New Roman"/>
        <family val="1"/>
        <charset val="161"/>
      </rPr>
      <t>Ορθή Αναφορά</t>
    </r>
  </si>
  <si>
    <r>
      <t>ΑΠO</t>
    </r>
    <r>
      <rPr>
        <b/>
        <sz val="11"/>
        <rFont val="Times New Roman"/>
        <family val="1"/>
        <charset val="161"/>
      </rPr>
      <t xml:space="preserve"> </t>
    </r>
    <r>
      <rPr>
        <sz val="11"/>
        <rFont val="Times New Roman"/>
        <family val="1"/>
        <charset val="161"/>
      </rPr>
      <t xml:space="preserve"> Απόκλιση</t>
    </r>
  </si>
  <si>
    <t>Μοίρες -ώρες</t>
  </si>
  <si>
    <t>αν τα γκρι &lt;0 ; 0 ; 1</t>
  </si>
  <si>
    <t>άθροισμα</t>
  </si>
  <si>
    <t>αν τα γκρι &gt;0 ; 0 ; 1</t>
  </si>
  <si>
    <t>αν πρώτο άθροισμα = 3 ; 1 ; 0</t>
  </si>
  <si>
    <t>αν δεύτερο άθροισμα = 3 ; 1 ; 0</t>
  </si>
  <si>
    <t>άθροισμα των δύο επάνω</t>
  </si>
  <si>
    <t>Δευτερόλεπτα /60</t>
  </si>
  <si>
    <t xml:space="preserve">το επάνω + λεπτα / 60 </t>
  </si>
  <si>
    <t xml:space="preserve">το επάνω + ώρες    </t>
  </si>
  <si>
    <t xml:space="preserve"> Βρέθηκαν γράμματα</t>
  </si>
  <si>
    <t>Βρεθήκαν διαφορετικά πρόσημα</t>
  </si>
  <si>
    <t>Έχει μεγαλύτερη τιμή του 24</t>
  </si>
  <si>
    <t>Έχει μεγαλύτερη τιμή του 90</t>
  </si>
  <si>
    <t>Είναι αρνητική τιμή</t>
  </si>
  <si>
    <t>Έχει μικρότερη τιμή του -90</t>
  </si>
  <si>
    <t>Άθροισμα</t>
  </si>
  <si>
    <t xml:space="preserve"> Πολλά λάθη</t>
  </si>
  <si>
    <t>Λαθών</t>
  </si>
  <si>
    <t>Κείμενα</t>
  </si>
  <si>
    <t>Λάθος Καταχώρηση στην ΟΑ του ΑΠΌ</t>
  </si>
  <si>
    <t>Λάθος Καταχώρηση στην Απόκλιση του ΑΠΟ</t>
  </si>
  <si>
    <r>
      <rPr>
        <b/>
        <sz val="11"/>
        <color rgb="FF00B050"/>
        <rFont val="Times New Roman"/>
        <family val="1"/>
        <charset val="161"/>
      </rPr>
      <t>ΠΡΟΣ</t>
    </r>
    <r>
      <rPr>
        <b/>
        <sz val="11"/>
        <rFont val="Times New Roman"/>
        <family val="1"/>
        <charset val="161"/>
      </rPr>
      <t xml:space="preserve"> </t>
    </r>
    <r>
      <rPr>
        <sz val="11"/>
        <rFont val="Times New Roman"/>
        <family val="1"/>
        <charset val="161"/>
      </rPr>
      <t>Ορθή Αναφορά</t>
    </r>
  </si>
  <si>
    <r>
      <rPr>
        <b/>
        <sz val="11"/>
        <color rgb="FF00B050"/>
        <rFont val="Times New Roman"/>
        <family val="1"/>
        <charset val="161"/>
      </rPr>
      <t>ΠΡΟΣ</t>
    </r>
    <r>
      <rPr>
        <b/>
        <sz val="11"/>
        <rFont val="Times New Roman"/>
        <family val="1"/>
        <charset val="161"/>
      </rPr>
      <t xml:space="preserve"> </t>
    </r>
    <r>
      <rPr>
        <sz val="11"/>
        <rFont val="Times New Roman"/>
        <family val="1"/>
        <charset val="161"/>
      </rPr>
      <t xml:space="preserve"> Απόκλιση</t>
    </r>
  </si>
  <si>
    <t>Λάθος Καταχώρηση στην Απόκλιση του ΠΡΟΣ</t>
  </si>
  <si>
    <t>Πίνακας εισόδου από τον κατάλογο</t>
  </si>
  <si>
    <t>Μητρική Οθόνη</t>
  </si>
  <si>
    <t>Δεδομένα</t>
  </si>
  <si>
    <t>Έτος</t>
  </si>
  <si>
    <t>Enter</t>
  </si>
  <si>
    <t>δευτερόλεπτα</t>
  </si>
  <si>
    <t>Μετάπτωση</t>
  </si>
  <si>
    <r>
      <t xml:space="preserve">ΑΠO </t>
    </r>
    <r>
      <rPr>
        <b/>
        <sz val="11"/>
        <color rgb="FFFFFF00"/>
        <rFont val="Times New Roman"/>
        <family val="1"/>
        <charset val="161"/>
      </rPr>
      <t>Ορθή Αναφορά</t>
    </r>
  </si>
  <si>
    <r>
      <rPr>
        <b/>
        <sz val="11"/>
        <color rgb="FFFF0000"/>
        <rFont val="Times New Roman"/>
        <family val="1"/>
        <charset val="161"/>
      </rPr>
      <t>ΑΠΟ</t>
    </r>
    <r>
      <rPr>
        <b/>
        <sz val="11"/>
        <color rgb="FFC00000"/>
        <rFont val="Times New Roman"/>
        <family val="1"/>
        <charset val="161"/>
      </rPr>
      <t xml:space="preserve"> </t>
    </r>
    <r>
      <rPr>
        <b/>
        <sz val="11"/>
        <color rgb="FFFFFF00"/>
        <rFont val="Times New Roman"/>
        <family val="1"/>
        <charset val="161"/>
      </rPr>
      <t xml:space="preserve"> Απόκλιση</t>
    </r>
  </si>
  <si>
    <t>το επάνω * -1</t>
  </si>
  <si>
    <t>αν το επάνω &lt; 0 ; Το γκρι ; Το επάνω</t>
  </si>
  <si>
    <t>Αν το γκρι &lt; 0 ; 2 ; 1</t>
  </si>
  <si>
    <t>Αν το χακί &gt;100 ; 0 ; Το χακί</t>
  </si>
  <si>
    <t>Είσοδος Προγράμματος</t>
  </si>
  <si>
    <t>Συμμιγής απεικόνιση</t>
  </si>
  <si>
    <t>αν μοίρες = 0 ; 2 ; 0</t>
  </si>
  <si>
    <t>τα επάνω *(-1)</t>
  </si>
  <si>
    <t xml:space="preserve">λεπτά </t>
  </si>
  <si>
    <t xml:space="preserve">λεπτά +1 </t>
  </si>
  <si>
    <t>αν δευτερόλεπτα&lt;0,000001; 0 ; Δευτερόλεπτα</t>
  </si>
  <si>
    <t>αν το επάνω&gt;59,999999;0;το επάνω</t>
  </si>
  <si>
    <t>Ώρες - Μοίρες</t>
  </si>
  <si>
    <t>Τα επάνω *(-1)</t>
  </si>
  <si>
    <r>
      <rPr>
        <b/>
        <sz val="11"/>
        <color rgb="FF00B050"/>
        <rFont val="Times New Roman"/>
        <family val="1"/>
        <charset val="161"/>
      </rPr>
      <t>ΠΡΟΣ</t>
    </r>
    <r>
      <rPr>
        <b/>
        <sz val="11"/>
        <color rgb="FFC00000"/>
        <rFont val="Times New Roman"/>
        <family val="1"/>
        <charset val="161"/>
      </rPr>
      <t xml:space="preserve"> </t>
    </r>
    <r>
      <rPr>
        <b/>
        <sz val="11"/>
        <color rgb="FFFFFF00"/>
        <rFont val="Times New Roman"/>
        <family val="1"/>
        <charset val="161"/>
      </rPr>
      <t>Ορθή Αναφορά</t>
    </r>
  </si>
  <si>
    <r>
      <rPr>
        <b/>
        <sz val="11"/>
        <color rgb="FF00B050"/>
        <rFont val="Times New Roman"/>
        <family val="1"/>
        <charset val="161"/>
      </rPr>
      <t>ΠΡΟΣ</t>
    </r>
    <r>
      <rPr>
        <b/>
        <sz val="11"/>
        <color rgb="FFC00000"/>
        <rFont val="Times New Roman"/>
        <family val="1"/>
        <charset val="161"/>
      </rPr>
      <t xml:space="preserve"> </t>
    </r>
    <r>
      <rPr>
        <b/>
        <sz val="11"/>
        <color rgb="FFFFFF00"/>
        <rFont val="Times New Roman"/>
        <family val="1"/>
        <charset val="161"/>
      </rPr>
      <t xml:space="preserve"> Απόκλιση</t>
    </r>
  </si>
  <si>
    <t>Μετατροπή από δεκαδικό σε συμμιγή</t>
  </si>
  <si>
    <t>Κυρίως Λογισμικό</t>
  </si>
  <si>
    <r>
      <t>ΑΠO</t>
    </r>
    <r>
      <rPr>
        <b/>
        <sz val="11"/>
        <rFont val="Times New Roman"/>
        <family val="1"/>
        <charset val="161"/>
      </rPr>
      <t xml:space="preserve"> Ορθή αναφορά</t>
    </r>
    <r>
      <rPr>
        <b/>
        <sz val="11"/>
        <color rgb="FFC00000"/>
        <rFont val="Times New Roman"/>
        <family val="1"/>
        <charset val="161"/>
      </rPr>
      <t xml:space="preserve"> </t>
    </r>
  </si>
  <si>
    <r>
      <t xml:space="preserve">ΑΠO </t>
    </r>
    <r>
      <rPr>
        <b/>
        <sz val="11"/>
        <rFont val="Times New Roman"/>
        <family val="1"/>
        <charset val="161"/>
      </rPr>
      <t>Απόκλιση</t>
    </r>
    <r>
      <rPr>
        <b/>
        <sz val="11"/>
        <color rgb="FFC00000"/>
        <rFont val="Times New Roman"/>
        <family val="1"/>
        <charset val="161"/>
      </rPr>
      <t xml:space="preserve"> </t>
    </r>
  </si>
  <si>
    <r>
      <t>ΠΡΟΣ</t>
    </r>
    <r>
      <rPr>
        <b/>
        <sz val="11"/>
        <rFont val="Times New Roman"/>
        <family val="1"/>
        <charset val="161"/>
      </rPr>
      <t xml:space="preserve"> Ορθή αναφορά</t>
    </r>
  </si>
  <si>
    <r>
      <t xml:space="preserve">ΠΡΟΣ </t>
    </r>
    <r>
      <rPr>
        <b/>
        <sz val="11"/>
        <rFont val="Times New Roman"/>
        <family val="1"/>
        <charset val="161"/>
      </rPr>
      <t>Απόκλιση</t>
    </r>
  </si>
  <si>
    <t>Πρόγραμμα αφαίρεσης Ορθής Αναφοράς</t>
  </si>
  <si>
    <t xml:space="preserve">                        ΔΥΤΙΚΑ</t>
  </si>
  <si>
    <t>ΑΠΟ - ΠΡΟΣ</t>
  </si>
  <si>
    <t xml:space="preserve">Αν το επάνω &lt; 0 ; 0 ; Το επάνω </t>
  </si>
  <si>
    <t xml:space="preserve">Αν το επάνω &gt; 12 ; 0 ; Το επάνω </t>
  </si>
  <si>
    <t>Αν ΑΠΟ - ΠΡΟΣ &lt;12 ; ΟΚ ; 0</t>
  </si>
  <si>
    <t>Το επάνω +24</t>
  </si>
  <si>
    <t>Αν το επάνω = 24 ; 0 ; Το επάνω</t>
  </si>
  <si>
    <t>Άθροισμα των μωβ</t>
  </si>
  <si>
    <t>Μήνυμα "ΔΥΤΙΚΑ"</t>
  </si>
  <si>
    <t xml:space="preserve">                           ΑΝΑΤΟΛΙΚΑ</t>
  </si>
  <si>
    <t>Αν ΑΠΟ - ΠΡΟΣ &lt;0 ; ΟΚ ; 0</t>
  </si>
  <si>
    <t>Αν το επάνω &gt;-12 ; Το επάνω ; 0</t>
  </si>
  <si>
    <t>Αν ΑΠΟ - ΠΡΟΣ &gt;12 ; ΟΚ ; 0</t>
  </si>
  <si>
    <t>To επάνω - 24</t>
  </si>
  <si>
    <t>Άθροισμα των πορτοκαλί</t>
  </si>
  <si>
    <t>Μήνυμα "ΑΝΑΤΟΛΙΚΑ"</t>
  </si>
  <si>
    <t>Έξοδος ΟΑ</t>
  </si>
  <si>
    <t xml:space="preserve"> (μωβ + πορτοκαλί *60) = Λεπτά </t>
  </si>
  <si>
    <t xml:space="preserve"> (μωβ + πορτοκαλί *6) = Στροφές </t>
  </si>
  <si>
    <t>Λεπτα</t>
  </si>
  <si>
    <t>Κατεύθυνση (Concatenate)</t>
  </si>
  <si>
    <t>Πρόγραμμα αφαίρεσης Απόκλισης</t>
  </si>
  <si>
    <t>(ΠΡΟΣ+90)-(ΑΠΟ+90)                             Μοίρες</t>
  </si>
  <si>
    <t>Μήνυμα "ΒΟΡΕΙΑ"</t>
  </si>
  <si>
    <t>Μήνυμα "ΝΟΤΙΑ"</t>
  </si>
  <si>
    <t>Έξοδος Απόκλισης</t>
  </si>
  <si>
    <t>Έξοδος προς την οθόνη</t>
  </si>
  <si>
    <t>Άθροισμα των τεσσάρων κίτρινων κελιών</t>
  </si>
  <si>
    <t>του προγράμματος από συμμιγή σε δεκαδικό</t>
  </si>
  <si>
    <t>Αν το επάνω = 0 ; Τα γκρι περιγεγραμμένα κελιά</t>
  </si>
  <si>
    <t xml:space="preserve">Κατεύθυνση </t>
  </si>
  <si>
    <t>Απόκλιση</t>
  </si>
  <si>
    <t>Άθροισμα α+δ Από</t>
  </si>
  <si>
    <t>Άθροισμα α+δ Προς</t>
  </si>
  <si>
    <t>Άθροισμα τα επάνω</t>
  </si>
  <si>
    <t>Στην οθόνη υπάρχει IF με την εξής διατύπωση: Αν το επάνω γαλάζιο = 0 ; Ισχύουν τα αποτελέσματα του Κυρίως Λογισμικού ; ""</t>
  </si>
  <si>
    <t xml:space="preserve">                                                              ΑΠΟ</t>
  </si>
  <si>
    <t xml:space="preserve">                                                            ΠΡΟΣ</t>
  </si>
  <si>
    <t xml:space="preserve">                                                          Ώρες </t>
  </si>
  <si>
    <t xml:space="preserve">                                                       Λεπτα</t>
  </si>
  <si>
    <t xml:space="preserve">                                               Δευτερόλεπτα</t>
  </si>
  <si>
    <t xml:space="preserve">                                                          Μοίρες</t>
  </si>
  <si>
    <t xml:space="preserve">                                                            Λεπτα</t>
  </si>
  <si>
    <t xml:space="preserve">                                                Δευτερόλεπτα</t>
  </si>
  <si>
    <t xml:space="preserve">                                   Ελεύθερες θέσεις Από</t>
  </si>
  <si>
    <t xml:space="preserve">                                   A/A Καταχώρισης Από</t>
  </si>
  <si>
    <t xml:space="preserve">                                       Ελεύθερες θέσεις Προς</t>
  </si>
  <si>
    <t xml:space="preserve">                                      A/A Καταχώρισης Προς</t>
  </si>
  <si>
    <t>Χάρτες:</t>
  </si>
  <si>
    <r>
      <t xml:space="preserve">πληκτρολογήστε στο Φύλλο 2 και στην επιλογή οθόνης </t>
    </r>
    <r>
      <rPr>
        <b/>
        <sz val="11"/>
        <color theme="1"/>
        <rFont val="Times New Roman"/>
        <family val="1"/>
        <charset val="161"/>
      </rPr>
      <t>4</t>
    </r>
  </si>
  <si>
    <t>Αν το επάνω=0;"  " ; Το επάνω</t>
  </si>
  <si>
    <t xml:space="preserve">           Είσοδος </t>
  </si>
  <si>
    <r>
      <t>LEFT(</t>
    </r>
    <r>
      <rPr>
        <sz val="11"/>
        <color rgb="FF0070C0"/>
        <rFont val="Times New Roman"/>
        <family val="1"/>
        <charset val="161"/>
      </rPr>
      <t>είσοδος</t>
    </r>
    <r>
      <rPr>
        <sz val="11"/>
        <rFont val="Times New Roman"/>
        <family val="1"/>
        <charset val="161"/>
      </rPr>
      <t>;(FIND(" ";</t>
    </r>
    <r>
      <rPr>
        <sz val="11"/>
        <color rgb="FF0070C0"/>
        <rFont val="Times New Roman"/>
        <family val="1"/>
        <charset val="161"/>
      </rPr>
      <t>είσοδος</t>
    </r>
    <r>
      <rPr>
        <sz val="11"/>
        <rFont val="Times New Roman"/>
        <family val="1"/>
        <charset val="161"/>
      </rPr>
      <t>;1)-1))</t>
    </r>
  </si>
  <si>
    <t>(Α) Κελί</t>
  </si>
  <si>
    <r>
      <t>MID(</t>
    </r>
    <r>
      <rPr>
        <sz val="11"/>
        <color rgb="FF00B050"/>
        <rFont val="Times New Roman"/>
        <family val="1"/>
        <charset val="161"/>
      </rPr>
      <t>Είσοδος</t>
    </r>
    <r>
      <rPr>
        <sz val="11"/>
        <rFont val="Times New Roman"/>
        <family val="1"/>
        <charset val="161"/>
      </rPr>
      <t>;(FIND(" "</t>
    </r>
    <r>
      <rPr>
        <sz val="11"/>
        <color rgb="FF00B050"/>
        <rFont val="Times New Roman"/>
        <family val="1"/>
        <charset val="161"/>
      </rPr>
      <t>είσοδος</t>
    </r>
    <r>
      <rPr>
        <sz val="11"/>
        <rFont val="Times New Roman"/>
        <family val="1"/>
        <charset val="161"/>
      </rPr>
      <t>)+1;256)</t>
    </r>
  </si>
  <si>
    <t>(Β) Κελί</t>
  </si>
  <si>
    <t>αν το επάνω = 0 ; " α" ; 1</t>
  </si>
  <si>
    <r>
      <t xml:space="preserve">αν το επάνω = FALSE ; 0 ; Το </t>
    </r>
    <r>
      <rPr>
        <sz val="11"/>
        <color rgb="FF0070C0"/>
        <rFont val="Times New Roman"/>
        <family val="1"/>
        <charset val="161"/>
      </rPr>
      <t>(Α) Κελί</t>
    </r>
    <r>
      <rPr>
        <sz val="11"/>
        <color theme="1"/>
        <rFont val="Times New Roman"/>
        <family val="1"/>
        <charset val="161"/>
      </rPr>
      <t xml:space="preserve"> </t>
    </r>
  </si>
  <si>
    <t>Έξοδος (Α) Κελί</t>
  </si>
  <si>
    <r>
      <t xml:space="preserve">αν το επάνω = FALSE ; 0 ; Το </t>
    </r>
    <r>
      <rPr>
        <sz val="11"/>
        <color theme="9" tint="-0.249977111117893"/>
        <rFont val="Times New Roman"/>
        <family val="1"/>
        <charset val="161"/>
      </rPr>
      <t>(Β) Κελί</t>
    </r>
  </si>
  <si>
    <t>έξοδος (Β) Κελί</t>
  </si>
  <si>
    <t>Μετάφραση σε Ελληνικό πεζό γράμμα</t>
  </si>
  <si>
    <t>a</t>
  </si>
  <si>
    <t>alfa</t>
  </si>
  <si>
    <t>alpha</t>
  </si>
  <si>
    <t>b</t>
  </si>
  <si>
    <t>β</t>
  </si>
  <si>
    <t>bet</t>
  </si>
  <si>
    <t>g</t>
  </si>
  <si>
    <t>γ</t>
  </si>
  <si>
    <t>gam</t>
  </si>
  <si>
    <t>gama</t>
  </si>
  <si>
    <t>d</t>
  </si>
  <si>
    <t>δ</t>
  </si>
  <si>
    <t>del</t>
  </si>
  <si>
    <t>delta</t>
  </si>
  <si>
    <t>e</t>
  </si>
  <si>
    <t>ε</t>
  </si>
  <si>
    <t>eps</t>
  </si>
  <si>
    <t>epsilon</t>
  </si>
  <si>
    <t>z</t>
  </si>
  <si>
    <t>ζ</t>
  </si>
  <si>
    <t>zet</t>
  </si>
  <si>
    <t>zeta</t>
  </si>
  <si>
    <t>eta</t>
  </si>
  <si>
    <t>η</t>
  </si>
  <si>
    <t>the</t>
  </si>
  <si>
    <t>θ</t>
  </si>
  <si>
    <t>tet</t>
  </si>
  <si>
    <t>i</t>
  </si>
  <si>
    <t>ι</t>
  </si>
  <si>
    <t>iot</t>
  </si>
  <si>
    <t>iota</t>
  </si>
  <si>
    <t>k</t>
  </si>
  <si>
    <t>κ</t>
  </si>
  <si>
    <t>kap</t>
  </si>
  <si>
    <t>kapa</t>
  </si>
  <si>
    <t>l</t>
  </si>
  <si>
    <t>λ</t>
  </si>
  <si>
    <t>lam</t>
  </si>
  <si>
    <t>lamda</t>
  </si>
  <si>
    <t>m</t>
  </si>
  <si>
    <t>mu</t>
  </si>
  <si>
    <t>n</t>
  </si>
  <si>
    <t>ν</t>
  </si>
  <si>
    <t>nu</t>
  </si>
  <si>
    <t>ksi</t>
  </si>
  <si>
    <t>ξ</t>
  </si>
  <si>
    <t>o</t>
  </si>
  <si>
    <t>ο</t>
  </si>
  <si>
    <t>omi</t>
  </si>
  <si>
    <t>omicron</t>
  </si>
  <si>
    <t>p</t>
  </si>
  <si>
    <t>π</t>
  </si>
  <si>
    <t>pi</t>
  </si>
  <si>
    <t>r</t>
  </si>
  <si>
    <t>ρ</t>
  </si>
  <si>
    <t>ro</t>
  </si>
  <si>
    <t>s</t>
  </si>
  <si>
    <t>σ</t>
  </si>
  <si>
    <t>sig</t>
  </si>
  <si>
    <t>sigma</t>
  </si>
  <si>
    <t>t</t>
  </si>
  <si>
    <t>τ</t>
  </si>
  <si>
    <t>tau</t>
  </si>
  <si>
    <t>y</t>
  </si>
  <si>
    <t>υ</t>
  </si>
  <si>
    <t>ups</t>
  </si>
  <si>
    <t>f</t>
  </si>
  <si>
    <t>φ</t>
  </si>
  <si>
    <t>fi</t>
  </si>
  <si>
    <t>phi</t>
  </si>
  <si>
    <t>x</t>
  </si>
  <si>
    <t>χ</t>
  </si>
  <si>
    <t>hi</t>
  </si>
  <si>
    <t>he</t>
  </si>
  <si>
    <t>psi</t>
  </si>
  <si>
    <t>ψ</t>
  </si>
  <si>
    <t>ome</t>
  </si>
  <si>
    <t>ω</t>
  </si>
  <si>
    <t>omega</t>
  </si>
  <si>
    <t>Γράμματα που ακολουθούνται από αριθμό</t>
  </si>
  <si>
    <t>z1</t>
  </si>
  <si>
    <t>ζ1</t>
  </si>
  <si>
    <t>zet1</t>
  </si>
  <si>
    <t>zeta1</t>
  </si>
  <si>
    <t>n1</t>
  </si>
  <si>
    <t>ν1</t>
  </si>
  <si>
    <t>nu1</t>
  </si>
  <si>
    <t>o1</t>
  </si>
  <si>
    <t>ο1</t>
  </si>
  <si>
    <t>omi1</t>
  </si>
  <si>
    <t>omicron1</t>
  </si>
  <si>
    <t>o2</t>
  </si>
  <si>
    <t>ο2</t>
  </si>
  <si>
    <t>omi2</t>
  </si>
  <si>
    <t>omicron2</t>
  </si>
  <si>
    <t>t1</t>
  </si>
  <si>
    <t>τ1</t>
  </si>
  <si>
    <t>tau1</t>
  </si>
  <si>
    <t>t2</t>
  </si>
  <si>
    <t>τ2</t>
  </si>
  <si>
    <t>tau2</t>
  </si>
  <si>
    <t>t3</t>
  </si>
  <si>
    <t>τ3</t>
  </si>
  <si>
    <t>tau3</t>
  </si>
  <si>
    <t>t4</t>
  </si>
  <si>
    <t>τ4</t>
  </si>
  <si>
    <t>tau4</t>
  </si>
  <si>
    <t>t5</t>
  </si>
  <si>
    <t>τ5</t>
  </si>
  <si>
    <t>tau5</t>
  </si>
  <si>
    <t>y1</t>
  </si>
  <si>
    <t>υ1</t>
  </si>
  <si>
    <t>ups1</t>
  </si>
  <si>
    <t>psi1</t>
  </si>
  <si>
    <t>ψ1</t>
  </si>
  <si>
    <t>psi2</t>
  </si>
  <si>
    <t>ψ2</t>
  </si>
  <si>
    <t>ome2</t>
  </si>
  <si>
    <t>ω2</t>
  </si>
  <si>
    <t>omega2</t>
  </si>
  <si>
    <t>Σύνθεση</t>
  </si>
  <si>
    <t xml:space="preserve"> (Α) Κελί</t>
  </si>
  <si>
    <t>Αν το κάτω=0;"";" "</t>
  </si>
  <si>
    <t>Κενό διάστημα</t>
  </si>
  <si>
    <t xml:space="preserve"> (Β) Κελί</t>
  </si>
  <si>
    <t>Aν το επάνω = 0 ; ""</t>
  </si>
  <si>
    <t>Concatenate</t>
  </si>
  <si>
    <t>αν το γκρι =0 ; 0 ; Το μωβ</t>
  </si>
  <si>
    <t>1) Ελέγξτε την πληκτρολόγηση</t>
  </si>
  <si>
    <t>2) Δεν υπάρχει καταχώρηση</t>
  </si>
  <si>
    <t>Από Είσοδος προγράμματος</t>
  </si>
  <si>
    <t>Λογισμικό εισόδου</t>
  </si>
  <si>
    <t>Πίνακας 2) Κατάλογος Αστερισμών - κωδικών. Αγγλικό πληκτρολόγιο</t>
  </si>
  <si>
    <t>Χάρτης 1</t>
  </si>
  <si>
    <t>Κωδικός</t>
  </si>
  <si>
    <t>Όναμα στά</t>
  </si>
  <si>
    <t>Μηνύματα</t>
  </si>
  <si>
    <t>αν το επάνω = 0 ; Α</t>
  </si>
  <si>
    <t>Όνομα Αναζήτησης</t>
  </si>
  <si>
    <t>Λατινικα</t>
  </si>
  <si>
    <t>Από-πρός</t>
  </si>
  <si>
    <t>look up</t>
  </si>
  <si>
    <t xml:space="preserve">(1)β, (1)α, (12)α, (10-11)α </t>
  </si>
  <si>
    <t>Ανδρομέδα</t>
  </si>
  <si>
    <t>ανδ</t>
  </si>
  <si>
    <t xml:space="preserve">αν το επάνω = με το γκρ ; 1 ; α </t>
  </si>
  <si>
    <t>(6)γ</t>
  </si>
  <si>
    <t>Αντλία</t>
  </si>
  <si>
    <t>αντ</t>
  </si>
  <si>
    <t>(10-11)β, (12)β</t>
  </si>
  <si>
    <t>Υδροχόος</t>
  </si>
  <si>
    <t>υδρ</t>
  </si>
  <si>
    <t>(9)β, (9)α, (10-11)β</t>
  </si>
  <si>
    <t>Αετός</t>
  </si>
  <si>
    <t>αετ</t>
  </si>
  <si>
    <t>αν το επάνω =  Γκρι ;το επάνω ;  ΩΩΩ</t>
  </si>
  <si>
    <t>Δεν περιέχεται</t>
  </si>
  <si>
    <t>Βωμός</t>
  </si>
  <si>
    <t>βωμ</t>
  </si>
  <si>
    <t>(1)β, (1)γ</t>
  </si>
  <si>
    <t>Κριός</t>
  </si>
  <si>
    <t>κρι</t>
  </si>
  <si>
    <t>(2)α</t>
  </si>
  <si>
    <t>Ηνίοχος</t>
  </si>
  <si>
    <t>ηνι</t>
  </si>
  <si>
    <t>Bootes</t>
  </si>
  <si>
    <t>(7)α</t>
  </si>
  <si>
    <t>Βοώτης</t>
  </si>
  <si>
    <t>βοω</t>
  </si>
  <si>
    <t>(1)α, (6)α</t>
  </si>
  <si>
    <t>Καμηλοπάρδαλις</t>
  </si>
  <si>
    <t>καμη</t>
  </si>
  <si>
    <t>(3-4)β, (3-4)α</t>
  </si>
  <si>
    <t>Καρκίνος</t>
  </si>
  <si>
    <t>καρ</t>
  </si>
  <si>
    <t>Πίνακας 1)</t>
  </si>
  <si>
    <t>(6)α, (6)β</t>
  </si>
  <si>
    <t>Θηρευτικοί Κύνες</t>
  </si>
  <si>
    <t>κυθ</t>
  </si>
  <si>
    <t>(3-4)γ</t>
  </si>
  <si>
    <t>Μέγας Κύων</t>
  </si>
  <si>
    <t>κμε</t>
  </si>
  <si>
    <t>Αετος</t>
  </si>
  <si>
    <t>(3-4)β</t>
  </si>
  <si>
    <t>Μικρός Κύων</t>
  </si>
  <si>
    <t>κμι</t>
  </si>
  <si>
    <t>(10-11)β</t>
  </si>
  <si>
    <t>Αιγόκερως</t>
  </si>
  <si>
    <t>αιγ</t>
  </si>
  <si>
    <t>Αιγοκερος</t>
  </si>
  <si>
    <t>Τρόπις</t>
  </si>
  <si>
    <t>τρο</t>
  </si>
  <si>
    <t>Αιγόκερος</t>
  </si>
  <si>
    <t>Cassiopea</t>
  </si>
  <si>
    <t>(1)α, (1)β</t>
  </si>
  <si>
    <t>Κασσιόπη</t>
  </si>
  <si>
    <t>κασ</t>
  </si>
  <si>
    <t>Αιγοκερως</t>
  </si>
  <si>
    <t>(1)α, (1)β, (10-11)α</t>
  </si>
  <si>
    <t>(7)β</t>
  </si>
  <si>
    <t>Κένταυρος</t>
  </si>
  <si>
    <t>κεν</t>
  </si>
  <si>
    <t>Αλεπου</t>
  </si>
  <si>
    <t>(10-11)α, (1)α</t>
  </si>
  <si>
    <t>Κηφεύς</t>
  </si>
  <si>
    <t>κηφ</t>
  </si>
  <si>
    <t>Αλεπού</t>
  </si>
  <si>
    <t>(1)γ, (2)β, (12)β</t>
  </si>
  <si>
    <t>Κήτος</t>
  </si>
  <si>
    <t>κητ</t>
  </si>
  <si>
    <t>Αλωπηξ</t>
  </si>
  <si>
    <t>Περιστερά</t>
  </si>
  <si>
    <t>πρσ</t>
  </si>
  <si>
    <t>Αλώπηξ</t>
  </si>
  <si>
    <t>Coma</t>
  </si>
  <si>
    <t>(6)β</t>
  </si>
  <si>
    <t>Κόμη (Βερενίκης)</t>
  </si>
  <si>
    <t>κομ</t>
  </si>
  <si>
    <t>Ανδρομεδα</t>
  </si>
  <si>
    <t>Coma (Berenices)</t>
  </si>
  <si>
    <t>Κόμη Βερενίκης</t>
  </si>
  <si>
    <t>Αντλια</t>
  </si>
  <si>
    <t>(8-9)δ, (9)β</t>
  </si>
  <si>
    <t>CrA</t>
  </si>
  <si>
    <t>Νότιος Στέφανος</t>
  </si>
  <si>
    <t>στν</t>
  </si>
  <si>
    <t>CrB</t>
  </si>
  <si>
    <t>Βόρειος Στέφανος</t>
  </si>
  <si>
    <t>στβ</t>
  </si>
  <si>
    <t>Ασπιδα</t>
  </si>
  <si>
    <t>(6)γ, (6)β</t>
  </si>
  <si>
    <t>Κόραξ</t>
  </si>
  <si>
    <t>κορ</t>
  </si>
  <si>
    <t>Ασπίδα</t>
  </si>
  <si>
    <t>Κρατήρ</t>
  </si>
  <si>
    <t>κρα</t>
  </si>
  <si>
    <t>Ασπις</t>
  </si>
  <si>
    <t>(9)α, (10-11)α, (10-11)β, (12)α</t>
  </si>
  <si>
    <t>Κύκνος</t>
  </si>
  <si>
    <t>κυκ</t>
  </si>
  <si>
    <t>Ασπίς</t>
  </si>
  <si>
    <t>(9)α</t>
  </si>
  <si>
    <t>Δελφίνα</t>
  </si>
  <si>
    <t>δελ</t>
  </si>
  <si>
    <t>Βελος</t>
  </si>
  <si>
    <t>Sagitta</t>
  </si>
  <si>
    <t>(8-9)α, (8-9)β, (10-11)α, (6)α, (7)α</t>
  </si>
  <si>
    <t>Δράκων</t>
  </si>
  <si>
    <t>δρα</t>
  </si>
  <si>
    <t>Βέλος</t>
  </si>
  <si>
    <t>(12)α, (10-11)β, (9)α</t>
  </si>
  <si>
    <t>Ιππάριον</t>
  </si>
  <si>
    <t>ιππ</t>
  </si>
  <si>
    <t>Βορειος Στεφανος</t>
  </si>
  <si>
    <t>(2)β, (1)γ</t>
  </si>
  <si>
    <t>Ηριδανός</t>
  </si>
  <si>
    <t>ηρι</t>
  </si>
  <si>
    <t>Βορειος Στέφανος</t>
  </si>
  <si>
    <t>(1)γ</t>
  </si>
  <si>
    <t>Κάμινος</t>
  </si>
  <si>
    <t>καμι</t>
  </si>
  <si>
    <t>Βόρειος Στεφανος</t>
  </si>
  <si>
    <t xml:space="preserve">(3-4)β, (3-4)α </t>
  </si>
  <si>
    <t>Δίδυμοι</t>
  </si>
  <si>
    <t>διδ</t>
  </si>
  <si>
    <t>Γερανός</t>
  </si>
  <si>
    <t>γερ</t>
  </si>
  <si>
    <t>Βοωτης</t>
  </si>
  <si>
    <t>(8-9)β, (8-9)α, (8-9)γ</t>
  </si>
  <si>
    <t>Ηρακλής</t>
  </si>
  <si>
    <t>ηρα</t>
  </si>
  <si>
    <t>Βοωτής</t>
  </si>
  <si>
    <t>(6)γ, (3-4)β, (7)β</t>
  </si>
  <si>
    <t>Ύδρα</t>
  </si>
  <si>
    <t>υδρα</t>
  </si>
  <si>
    <t>(10-11)α, (12)α</t>
  </si>
  <si>
    <t>Σαύρα</t>
  </si>
  <si>
    <t>σαυ</t>
  </si>
  <si>
    <t>Βωμος</t>
  </si>
  <si>
    <t>(5)α, (3-4)α, (6β)</t>
  </si>
  <si>
    <t>Λέων</t>
  </si>
  <si>
    <t>λεω</t>
  </si>
  <si>
    <t>(5)α, (3-4)β</t>
  </si>
  <si>
    <t>Μικρός Λέων</t>
  </si>
  <si>
    <t>λμι</t>
  </si>
  <si>
    <t>Γερανος</t>
  </si>
  <si>
    <t>(3-4)γ, (2)β</t>
  </si>
  <si>
    <t>Λαγωός</t>
  </si>
  <si>
    <t>λαγ</t>
  </si>
  <si>
    <t>Ζυγός</t>
  </si>
  <si>
    <t>ζυγ</t>
  </si>
  <si>
    <t>Γλυπτης</t>
  </si>
  <si>
    <t>Λύκος</t>
  </si>
  <si>
    <t>λυκ</t>
  </si>
  <si>
    <t>Γλύπτης</t>
  </si>
  <si>
    <t>(3-4)α, (5)α</t>
  </si>
  <si>
    <t>Λυγξ</t>
  </si>
  <si>
    <t>λυγ</t>
  </si>
  <si>
    <t>Γνωμων</t>
  </si>
  <si>
    <t>Λύρα</t>
  </si>
  <si>
    <t>λυρ</t>
  </si>
  <si>
    <t>Γνώμων</t>
  </si>
  <si>
    <t>Microscopium</t>
  </si>
  <si>
    <t>Μικροσκόπιον</t>
  </si>
  <si>
    <t>μικ</t>
  </si>
  <si>
    <t>Δελφιν</t>
  </si>
  <si>
    <t>(3-4)γ, (3-4)γ</t>
  </si>
  <si>
    <t>Μονόκερως</t>
  </si>
  <si>
    <t>μον</t>
  </si>
  <si>
    <t>Δελφίν</t>
  </si>
  <si>
    <t>γνω</t>
  </si>
  <si>
    <t>Δελφινα</t>
  </si>
  <si>
    <t>(8-9)γ, (8-9)δ</t>
  </si>
  <si>
    <t>Οφιούχος</t>
  </si>
  <si>
    <t>οφχ</t>
  </si>
  <si>
    <t>Ωρίων</t>
  </si>
  <si>
    <t>ωρι</t>
  </si>
  <si>
    <t>Δελφινι</t>
  </si>
  <si>
    <t>(12)α, (12)β,(1)β</t>
  </si>
  <si>
    <t>Πήγασος</t>
  </si>
  <si>
    <t>πηγ</t>
  </si>
  <si>
    <t>Δελφίνι</t>
  </si>
  <si>
    <t>(1)α, (1)β, (2)α</t>
  </si>
  <si>
    <t>Περσεύς</t>
  </si>
  <si>
    <t>περ</t>
  </si>
  <si>
    <t>Διδυμοι</t>
  </si>
  <si>
    <t>Phoenix</t>
  </si>
  <si>
    <t>Φοίνιξ</t>
  </si>
  <si>
    <t>φοι</t>
  </si>
  <si>
    <t>(12)β, (1)γ</t>
  </si>
  <si>
    <t>Ιχθύες</t>
  </si>
  <si>
    <t>ιχθ</t>
  </si>
  <si>
    <t>Δρακοντας</t>
  </si>
  <si>
    <t>(12)β, (10-11)β</t>
  </si>
  <si>
    <t>Νότιος Ιχθύς</t>
  </si>
  <si>
    <t>ιχν</t>
  </si>
  <si>
    <t>Δράκοντας</t>
  </si>
  <si>
    <t>Πρύμνη</t>
  </si>
  <si>
    <t>πρυ</t>
  </si>
  <si>
    <t>Δρακος</t>
  </si>
  <si>
    <t>Πυξίς</t>
  </si>
  <si>
    <t>πυξ</t>
  </si>
  <si>
    <t>Sge</t>
  </si>
  <si>
    <t>βελ</t>
  </si>
  <si>
    <t>Δρακων</t>
  </si>
  <si>
    <t>Τοξότης</t>
  </si>
  <si>
    <t>τοξ</t>
  </si>
  <si>
    <t>(8-9)δ, (7)β</t>
  </si>
  <si>
    <t>Σκορπιός</t>
  </si>
  <si>
    <t>σκο</t>
  </si>
  <si>
    <t>Εξαντας</t>
  </si>
  <si>
    <t>(12)β</t>
  </si>
  <si>
    <t>γλυ</t>
  </si>
  <si>
    <t>Εξάντας</t>
  </si>
  <si>
    <t>(9)β, (8-9)δ</t>
  </si>
  <si>
    <t>ασπ</t>
  </si>
  <si>
    <t>Εξας</t>
  </si>
  <si>
    <t>Serpans</t>
  </si>
  <si>
    <t>(7)α, (8-9)γ, (9)β</t>
  </si>
  <si>
    <t>Όφις</t>
  </si>
  <si>
    <t>οφι</t>
  </si>
  <si>
    <t>Εξάς</t>
  </si>
  <si>
    <t>(5)α, (6)γ</t>
  </si>
  <si>
    <t>εξα</t>
  </si>
  <si>
    <t>Ζυγος</t>
  </si>
  <si>
    <t>Ταύρος</t>
  </si>
  <si>
    <t>ταυ</t>
  </si>
  <si>
    <t>(1)β</t>
  </si>
  <si>
    <t>Τρίγωνον</t>
  </si>
  <si>
    <t>τρι</t>
  </si>
  <si>
    <t>Ηνιοχος</t>
  </si>
  <si>
    <t>(6)α, (3-4)α, (5)α</t>
  </si>
  <si>
    <t>Μεγάλη Άρκτος</t>
  </si>
  <si>
    <t>αμε</t>
  </si>
  <si>
    <t>(6)α, (8-9)α</t>
  </si>
  <si>
    <t>Μικρή Άρκτος</t>
  </si>
  <si>
    <t>αμι</t>
  </si>
  <si>
    <t>Ηρακλης</t>
  </si>
  <si>
    <t>Ιστία</t>
  </si>
  <si>
    <t>ιστ</t>
  </si>
  <si>
    <t>(6)β, (6)γ, (7)β</t>
  </si>
  <si>
    <t>Παρθένος</t>
  </si>
  <si>
    <t>παρ</t>
  </si>
  <si>
    <t>Ηριδανος</t>
  </si>
  <si>
    <t>αλω</t>
  </si>
  <si>
    <t>Z</t>
  </si>
  <si>
    <t>Θηρευτικοι Κυνες</t>
  </si>
  <si>
    <t>ZZ</t>
  </si>
  <si>
    <t>Θηρευτικοι Κύνες</t>
  </si>
  <si>
    <t>ZZZ</t>
  </si>
  <si>
    <t>Θηρευτικοί Κυνες</t>
  </si>
  <si>
    <t>Ιππαριο</t>
  </si>
  <si>
    <t>Ιππάριο</t>
  </si>
  <si>
    <t>Ιππαριον</t>
  </si>
  <si>
    <t>Ιστια</t>
  </si>
  <si>
    <t>Ιχθυες</t>
  </si>
  <si>
    <t>Ιχθυς</t>
  </si>
  <si>
    <t>Ιχθύς</t>
  </si>
  <si>
    <t>Καμηλοπαρδαλη</t>
  </si>
  <si>
    <t>Καμηλοπάρδαλη</t>
  </si>
  <si>
    <t>Καμηλοπαρδαλης</t>
  </si>
  <si>
    <t>Καμηλοπαρδαλις</t>
  </si>
  <si>
    <t>Καμινος</t>
  </si>
  <si>
    <t>Καρκινος</t>
  </si>
  <si>
    <t>Κασιοπη</t>
  </si>
  <si>
    <t>Κασιόπη</t>
  </si>
  <si>
    <t>Κασσιοπη</t>
  </si>
  <si>
    <t>Κενταυρος</t>
  </si>
  <si>
    <t>Κητος</t>
  </si>
  <si>
    <t>Κηφεας</t>
  </si>
  <si>
    <t>Κηφέας</t>
  </si>
  <si>
    <t>Κηφευς</t>
  </si>
  <si>
    <t>Κομη</t>
  </si>
  <si>
    <t>Κόμη</t>
  </si>
  <si>
    <t>Κομη Βερενικης</t>
  </si>
  <si>
    <t>Κομη Βερενίκης</t>
  </si>
  <si>
    <t>Κόμη Βερενικης</t>
  </si>
  <si>
    <t>Κορακας</t>
  </si>
  <si>
    <t>Κόρακας</t>
  </si>
  <si>
    <t>Κοραξ</t>
  </si>
  <si>
    <t>Κρατηρ</t>
  </si>
  <si>
    <t>Κρατηρας</t>
  </si>
  <si>
    <t>Κρατήρας</t>
  </si>
  <si>
    <t>Κριος</t>
  </si>
  <si>
    <t>Κυκνος</t>
  </si>
  <si>
    <t>Λαγος</t>
  </si>
  <si>
    <t>Λαγός</t>
  </si>
  <si>
    <t>Λαγωος</t>
  </si>
  <si>
    <t>Λεων</t>
  </si>
  <si>
    <t>Λιγκας</t>
  </si>
  <si>
    <t>Λίγκας</t>
  </si>
  <si>
    <t>Λυγκας</t>
  </si>
  <si>
    <t>Λύγκας</t>
  </si>
  <si>
    <t>Λύγξ</t>
  </si>
  <si>
    <t>Λυκος</t>
  </si>
  <si>
    <t>Λυρα</t>
  </si>
  <si>
    <t>Μεγαλη Αρκτος</t>
  </si>
  <si>
    <t>Μεγαλη Άρκτος</t>
  </si>
  <si>
    <t>Μεγάλη Αρκτος</t>
  </si>
  <si>
    <t>Μεγαλος Κυνας</t>
  </si>
  <si>
    <t>Μεγαλος Κύνας</t>
  </si>
  <si>
    <t>Μεγάλος Κυνας</t>
  </si>
  <si>
    <t>Μεγάλος Κύνας</t>
  </si>
  <si>
    <t>Μεγαλος Κυων</t>
  </si>
  <si>
    <t>Μεγαλος Κύων</t>
  </si>
  <si>
    <t>Μεγάλος Κυων</t>
  </si>
  <si>
    <t>Μεγάλος Κύων</t>
  </si>
  <si>
    <t>Μεγαλος Σκυλος</t>
  </si>
  <si>
    <t>Μεγαλος Σκύλος</t>
  </si>
  <si>
    <t>Μεγάλος Σκυλος</t>
  </si>
  <si>
    <t>Μεγάλος Σκύλος</t>
  </si>
  <si>
    <t>Μεγας Κυνας</t>
  </si>
  <si>
    <t>Μεγας Κύνας</t>
  </si>
  <si>
    <t>Μέγας Κυνας</t>
  </si>
  <si>
    <t>Μέγας Κύνας</t>
  </si>
  <si>
    <t>Μεγας Κυων</t>
  </si>
  <si>
    <t>Μεγας Κύων</t>
  </si>
  <si>
    <t>Μέγας Κυων</t>
  </si>
  <si>
    <t>Μικρη Αρκτος</t>
  </si>
  <si>
    <t>Μικρη Άρκτος</t>
  </si>
  <si>
    <t>Μικρή Αρκτος</t>
  </si>
  <si>
    <t>Μικρος Κυνας</t>
  </si>
  <si>
    <t>Μικρος Κύνας</t>
  </si>
  <si>
    <t>Μικρός Κυνας</t>
  </si>
  <si>
    <t>Μικρός Κύνας</t>
  </si>
  <si>
    <t>Μικρος Κυων</t>
  </si>
  <si>
    <t>Μικρος Κύων</t>
  </si>
  <si>
    <t>Μικρός Κυων</t>
  </si>
  <si>
    <t>Μικρος Λεων</t>
  </si>
  <si>
    <t>Μικρος Λέων</t>
  </si>
  <si>
    <t>Μικρός Λεων</t>
  </si>
  <si>
    <t>Μικρος Σκυλος</t>
  </si>
  <si>
    <t>Μικρος Σκύλος</t>
  </si>
  <si>
    <t>Μικρός Σκυλος</t>
  </si>
  <si>
    <t>Μικρός Σκύλος</t>
  </si>
  <si>
    <t>Μικροσκοπιο</t>
  </si>
  <si>
    <t>Μικροσκόπιο</t>
  </si>
  <si>
    <t>Μικροσκοπιον</t>
  </si>
  <si>
    <t>Μονοκερος</t>
  </si>
  <si>
    <t>Μονόκερος</t>
  </si>
  <si>
    <t>Μονοκερως</t>
  </si>
  <si>
    <t>Νοτιος ιχθυς</t>
  </si>
  <si>
    <t>Νοτιος ιχθύς</t>
  </si>
  <si>
    <t>Νότιος Ιχθυς</t>
  </si>
  <si>
    <t>Νοτιος Στεφανος</t>
  </si>
  <si>
    <t>Νοτιος Στέφανος</t>
  </si>
  <si>
    <t>Νότιος Στεφανος</t>
  </si>
  <si>
    <t>Οφιουχος</t>
  </si>
  <si>
    <t>Οφις</t>
  </si>
  <si>
    <t>Παρθενος</t>
  </si>
  <si>
    <t>Περσέας</t>
  </si>
  <si>
    <t>Περσευς</t>
  </si>
  <si>
    <t>Πηγασος</t>
  </si>
  <si>
    <t>Πρυμη</t>
  </si>
  <si>
    <t>Πρύμη</t>
  </si>
  <si>
    <t>Πρυμνη</t>
  </si>
  <si>
    <t>Πυξιδα</t>
  </si>
  <si>
    <t>Πυξίδα</t>
  </si>
  <si>
    <t>Πυξις</t>
  </si>
  <si>
    <t>Σαυρα</t>
  </si>
  <si>
    <t>Σκορπιος</t>
  </si>
  <si>
    <t>Ταυρος</t>
  </si>
  <si>
    <t>Τοξοτης</t>
  </si>
  <si>
    <t>Τριγωνο</t>
  </si>
  <si>
    <t>Τρίγωνο</t>
  </si>
  <si>
    <t>Τριγωνον</t>
  </si>
  <si>
    <t>Τροπιδα</t>
  </si>
  <si>
    <t>Τροπίδα</t>
  </si>
  <si>
    <t>Τροπις</t>
  </si>
  <si>
    <t>Υδρα</t>
  </si>
  <si>
    <t>Υδροχοος</t>
  </si>
  <si>
    <t>Ωριων</t>
  </si>
  <si>
    <t>Ωριωνας</t>
  </si>
  <si>
    <t>Ωρίωνας</t>
  </si>
  <si>
    <t>ΩΩ</t>
  </si>
  <si>
    <t>ΩΩΩ</t>
  </si>
  <si>
    <t xml:space="preserve">ΩΩΩ </t>
  </si>
  <si>
    <t>Αστερισμός</t>
  </si>
  <si>
    <t>lookup</t>
  </si>
  <si>
    <t xml:space="preserve">Αστερισμός στα Λατινικά </t>
  </si>
  <si>
    <t>Διεθνές Σύμβολο</t>
  </si>
  <si>
    <t>Αστερισμός Ελληνικά</t>
  </si>
  <si>
    <t>Κωδικός Από - Προς Ελληνικό</t>
  </si>
  <si>
    <t xml:space="preserve">αν το επάνω = 0 ; "" </t>
  </si>
  <si>
    <t xml:space="preserve">αν το επάνω = με το γκρ ; 1 ; "α" </t>
  </si>
  <si>
    <t>αν το επάνω = False; "ZZZ" ; Το πορτοκαλί.</t>
  </si>
  <si>
    <t>Corona borealis</t>
  </si>
  <si>
    <t>andromeda</t>
  </si>
  <si>
    <t>περσεας</t>
  </si>
  <si>
    <t>περιστερι</t>
  </si>
  <si>
    <t>περιστέρα</t>
  </si>
  <si>
    <t>περιστερά</t>
  </si>
  <si>
    <t>περιστέρι</t>
  </si>
  <si>
    <t>περιστερα</t>
  </si>
  <si>
    <t>φοινηξ</t>
  </si>
  <si>
    <t>φοινιξ</t>
  </si>
  <si>
    <t>φοίνηξ</t>
  </si>
  <si>
    <t>φοίνιξ</t>
  </si>
  <si>
    <r>
      <t xml:space="preserve">α β γ δ ε ζ η θ </t>
    </r>
    <r>
      <rPr>
        <sz val="11"/>
        <color theme="9" tint="-0.249977111117893"/>
        <rFont val="Times New Roman"/>
        <family val="1"/>
        <charset val="161"/>
      </rPr>
      <t>(Σχόλιο)</t>
    </r>
    <r>
      <rPr>
        <b/>
        <sz val="11"/>
        <color rgb="FF7030A0"/>
        <rFont val="Times New Roman"/>
        <family val="1"/>
        <charset val="161"/>
      </rPr>
      <t xml:space="preserve"> </t>
    </r>
  </si>
  <si>
    <r>
      <t xml:space="preserve">ι κ λ μ ν ξ ο π </t>
    </r>
    <r>
      <rPr>
        <sz val="11"/>
        <color theme="9" tint="-0.249977111117893"/>
        <rFont val="Times New Roman"/>
        <family val="1"/>
        <charset val="161"/>
      </rPr>
      <t>(Σχόλιο)</t>
    </r>
  </si>
  <si>
    <r>
      <t xml:space="preserve">α β γ δ ε ζ η θ  </t>
    </r>
    <r>
      <rPr>
        <sz val="11"/>
        <color theme="9" tint="-0.249977111117893"/>
        <rFont val="Times New Roman"/>
        <family val="1"/>
        <charset val="161"/>
      </rPr>
      <t>(Σχόλιο)</t>
    </r>
  </si>
  <si>
    <r>
      <t xml:space="preserve">ι κ λ μ ν ξ ο π </t>
    </r>
    <r>
      <rPr>
        <sz val="11"/>
        <color theme="9" tint="-0.249977111117893"/>
        <rFont val="Times New Roman"/>
        <family val="1"/>
        <charset val="161"/>
      </rPr>
      <t xml:space="preserve"> (Σχόλιο)</t>
    </r>
    <r>
      <rPr>
        <b/>
        <sz val="11"/>
        <color theme="9" tint="-0.249977111117893"/>
        <rFont val="Times New Roman"/>
        <family val="1"/>
        <charset val="161"/>
      </rPr>
      <t xml:space="preserve"> </t>
    </r>
  </si>
  <si>
    <r>
      <t xml:space="preserve">ρ σ τ υ φ χ ψ ω </t>
    </r>
    <r>
      <rPr>
        <sz val="11"/>
        <color theme="9" tint="-0.249977111117893"/>
        <rFont val="Times New Roman"/>
        <family val="1"/>
        <charset val="161"/>
      </rPr>
      <t>(Σχόλιο)</t>
    </r>
    <r>
      <rPr>
        <b/>
        <sz val="11"/>
        <color theme="9" tint="-0.249977111117893"/>
        <rFont val="Times New Roman"/>
        <family val="1"/>
        <charset val="161"/>
      </rPr>
      <t xml:space="preserve"> </t>
    </r>
  </si>
  <si>
    <t>αν false = "α" ; Το ροζ</t>
  </si>
  <si>
    <t>αν false = το γκρι ; Πράσινο (έξοδος)</t>
  </si>
  <si>
    <t>(2)β, (2α), (2)γ, (3-4)γ</t>
  </si>
  <si>
    <t>pk 190-17,1</t>
  </si>
  <si>
    <t>μ 82</t>
  </si>
  <si>
    <t>M102-8,6 Γαλαξίας 11 Mly</t>
  </si>
  <si>
    <t>Γιόχαν Μπόντε</t>
  </si>
  <si>
    <t>Μήνας</t>
  </si>
  <si>
    <t>Ώρα</t>
  </si>
  <si>
    <t>Στόχος</t>
  </si>
  <si>
    <t>Ωριαια γων</t>
  </si>
  <si>
    <t>Ωριαία γων</t>
  </si>
  <si>
    <t>αν το επάνω=2;2;1</t>
  </si>
  <si>
    <t>είσοδος (Από το γκρι)</t>
  </si>
  <si>
    <t>Γεω Μηκ</t>
  </si>
  <si>
    <t>Θερ ώρα</t>
  </si>
  <si>
    <t>Ημέρα</t>
  </si>
  <si>
    <t>Έγχρωμη Οθόνη</t>
  </si>
  <si>
    <t>Νυχτερινή Οθώνη</t>
  </si>
  <si>
    <t xml:space="preserve">              Enter</t>
  </si>
  <si>
    <t>ΟΑ Προς</t>
  </si>
  <si>
    <t xml:space="preserve">Ημέρα </t>
  </si>
  <si>
    <t>Είσοδος από τον υπολογιστή</t>
  </si>
  <si>
    <t>,</t>
  </si>
  <si>
    <t>Δευτ</t>
  </si>
  <si>
    <t>Ανανέωση</t>
  </si>
  <si>
    <t xml:space="preserve"> Ώρας</t>
  </si>
  <si>
    <t>Δευτερ</t>
  </si>
  <si>
    <t xml:space="preserve">Κατάλογοι Συντελεστή Μήνα και Χρόνου Μήνα. </t>
  </si>
  <si>
    <t>Έτος............</t>
  </si>
  <si>
    <t>Ο Συντελεστής Μήνα είναι ο χρόνος που κάθε ημέρα ο Πολικός μεσουρανεί νωρίτερα.</t>
  </si>
  <si>
    <t>Γεω μήκος...........</t>
  </si>
  <si>
    <t>Λόγο όμως του Δεύτερου Νόμου του Κέπλερ, ο κάθε πλανήτης δεν περιστρέφεται με</t>
  </si>
  <si>
    <t>Μεσουράνηση Πολικού Αστέρα</t>
  </si>
  <si>
    <t>Τροπικό έτος</t>
  </si>
  <si>
    <t>Χρονικό όριο έτους</t>
  </si>
  <si>
    <t>Μήνας...........</t>
  </si>
  <si>
    <t xml:space="preserve">Κατάλογοι (για δίσεκτα &amp; κανονικά έτη)  μεσουρανήσεων του </t>
  </si>
  <si>
    <t>σταθερή ταχύτητα γύρω από τον ήλιο αλλά αυτή διαρκώς μεταβάλλεται ανάλογα με την θέση του.</t>
  </si>
  <si>
    <r>
      <t xml:space="preserve">Το σύμβολο </t>
    </r>
    <r>
      <rPr>
        <b/>
        <sz val="14"/>
        <color rgb="FF00B050"/>
        <rFont val="Times New Roman"/>
        <family val="1"/>
        <charset val="161"/>
      </rPr>
      <t>γ</t>
    </r>
  </si>
  <si>
    <t>Ημέρα.................</t>
  </si>
  <si>
    <r>
      <t xml:space="preserve">Πολικού την 1 Ιανουαρίου σε γεωγραφικό μήκος </t>
    </r>
    <r>
      <rPr>
        <sz val="11"/>
        <color rgb="FFFF0000"/>
        <rFont val="Times New Roman"/>
        <family val="1"/>
        <charset val="161"/>
      </rPr>
      <t>30</t>
    </r>
    <r>
      <rPr>
        <sz val="11"/>
        <rFont val="Times New Roman"/>
        <family val="1"/>
        <charset val="161"/>
      </rPr>
      <t xml:space="preserve"> μοιρών</t>
    </r>
  </si>
  <si>
    <t xml:space="preserve">Στο περιήλιο η ταχύτητα είναι η μεγαλύτερη και στο αφήλιο μικρότερη. </t>
  </si>
  <si>
    <r>
      <t>Με αυτό το</t>
    </r>
    <r>
      <rPr>
        <sz val="11"/>
        <color rgb="FF00B050"/>
        <rFont val="Times New Roman"/>
        <family val="1"/>
        <charset val="161"/>
      </rPr>
      <t xml:space="preserve"> γ </t>
    </r>
    <r>
      <rPr>
        <sz val="11"/>
        <rFont val="Times New Roman"/>
        <family val="1"/>
        <charset val="161"/>
      </rPr>
      <t>ε</t>
    </r>
    <r>
      <rPr>
        <sz val="11"/>
        <color theme="1"/>
        <rFont val="Times New Roman"/>
        <family val="1"/>
        <charset val="161"/>
      </rPr>
      <t>ννοούμε το εαρινό σημείο τομής της</t>
    </r>
  </si>
  <si>
    <t>Ώρα................</t>
  </si>
  <si>
    <t>Ο Συντελεστής Μήνα διαμορφώθηκε ως εξής: Πάρθηκε μεσουράνηση την 1 Ιανουαρίου και</t>
  </si>
  <si>
    <t>εκλειπτικής με τον ουράνιο ισημερινό.</t>
  </si>
  <si>
    <t xml:space="preserve">Λεπτά.............. </t>
  </si>
  <si>
    <t xml:space="preserve">κατόπιν την 1 Φεβρουαρίου. Αφαιρέθηκαν και προέκυψε ο Χρόνος του Μήνα. </t>
  </si>
  <si>
    <t>Τροπικό έτος είναι ο χρόνος εκφρασμένος σε</t>
  </si>
  <si>
    <t>Δευτερόλεπτα………………………….</t>
  </si>
  <si>
    <t>Είσοδος Έτους</t>
  </si>
  <si>
    <t>Στην συνέχεια διαιρέθηκε με τις ημέρες του Μήνα και προέκυψε ο Συντελεστής του Ιανουαρίου</t>
  </si>
  <si>
    <t xml:space="preserve">Ηλιακές ημέρες που χρειάζεται η Γή για να διέλθει </t>
  </si>
  <si>
    <r>
      <t xml:space="preserve">Δίσεκτα Έτη </t>
    </r>
    <r>
      <rPr>
        <b/>
        <sz val="11"/>
        <color rgb="FFFF0000"/>
        <rFont val="Times New Roman"/>
        <family val="1"/>
        <charset val="161"/>
      </rPr>
      <t>1</t>
    </r>
  </si>
  <si>
    <t>Μεσουρανήσεις την 1 Ιανουαρίου του Έτους …</t>
  </si>
  <si>
    <t>Ορθή Αναφορα του Προς…………………</t>
  </si>
  <si>
    <t>Δίσεκτα</t>
  </si>
  <si>
    <t>Μεσουράνηση την</t>
  </si>
  <si>
    <t>Το ίδιο έγινε και με τους υπόλοιπους μήνες.</t>
  </si>
  <si>
    <r>
      <t>δύο συνεχείς φορές από το σημείο</t>
    </r>
    <r>
      <rPr>
        <sz val="11"/>
        <color rgb="FF00B050"/>
        <rFont val="Times New Roman"/>
        <family val="1"/>
        <charset val="161"/>
      </rPr>
      <t xml:space="preserve"> γ</t>
    </r>
  </si>
  <si>
    <t>Χρόνος</t>
  </si>
  <si>
    <t>Θερινή Ώρα - Ώρα Ελλάδος………………..</t>
  </si>
  <si>
    <r>
      <t xml:space="preserve">1/1 στις </t>
    </r>
    <r>
      <rPr>
        <sz val="11"/>
        <color rgb="FFFF0000"/>
        <rFont val="Times New Roman"/>
        <family val="1"/>
        <charset val="161"/>
      </rPr>
      <t>30</t>
    </r>
    <r>
      <rPr>
        <sz val="11"/>
        <color rgb="FF0070C0"/>
        <rFont val="Times New Roman"/>
        <family val="1"/>
        <charset val="161"/>
      </rPr>
      <t xml:space="preserve"> Μοίρες</t>
    </r>
  </si>
  <si>
    <t>Λόγο όμως του φαινομένου της "Μαργαρίτας" το περιήλιο και το αφήλιο περιστρέφονται και διαγράφουν πλήρη κύκλο</t>
  </si>
  <si>
    <r>
      <t xml:space="preserve">Ηλιακές ημέρες </t>
    </r>
    <r>
      <rPr>
        <b/>
        <sz val="11"/>
        <color theme="1"/>
        <rFont val="Times New Roman"/>
        <family val="1"/>
        <charset val="161"/>
      </rPr>
      <t>τροπικού</t>
    </r>
    <r>
      <rPr>
        <sz val="11"/>
        <color theme="1"/>
        <rFont val="Times New Roman"/>
        <family val="1"/>
        <charset val="161"/>
      </rPr>
      <t xml:space="preserve"> έτους </t>
    </r>
  </si>
  <si>
    <t>Μεσουράνηση</t>
  </si>
  <si>
    <t>Ημ. Μήνα</t>
  </si>
  <si>
    <t>Μήνα</t>
  </si>
  <si>
    <r>
      <t>Μεσουράνηση της ΟΑ  (</t>
    </r>
    <r>
      <rPr>
        <b/>
        <sz val="11"/>
        <color theme="1"/>
        <rFont val="Times New Roman"/>
        <family val="1"/>
        <charset val="161"/>
      </rPr>
      <t xml:space="preserve">α = 0) </t>
    </r>
    <r>
      <rPr>
        <sz val="11"/>
        <color theme="1"/>
        <rFont val="Times New Roman"/>
        <family val="1"/>
        <charset val="161"/>
      </rPr>
      <t xml:space="preserve">το έτος …. στις 30 </t>
    </r>
  </si>
  <si>
    <t>Είσοδος αθροίσματος λαθών από το Από - Προς</t>
  </si>
  <si>
    <t>κάθε 150.000  χρόνια. Έτσι λοιπόν πάρθηκαν 2 Συντελεστές. Ο ένας στην αρχή του χρόνου που λειτουργεί</t>
  </si>
  <si>
    <t>Τιμή για το 2000</t>
  </si>
  <si>
    <t>Γεωγραφικό Μήκος</t>
  </si>
  <si>
    <t>το πρόγραμμα και ένας στο τέλος. Με αυτόν τον τρόπο το πρόγραμμα κάνει την διόρθωση ανάμεσα</t>
  </si>
  <si>
    <t>Τιμή μετάπτωσης ανά έτος 50΄΄,26</t>
  </si>
  <si>
    <r>
      <t xml:space="preserve">στα έτη. Το </t>
    </r>
    <r>
      <rPr>
        <sz val="11"/>
        <color rgb="FFFF0000"/>
        <rFont val="Times New Roman"/>
        <family val="1"/>
        <charset val="161"/>
      </rPr>
      <t>"Φαινόμενο της Μαργαρίτας"</t>
    </r>
    <r>
      <rPr>
        <sz val="11"/>
        <color theme="1"/>
        <rFont val="Times New Roman"/>
        <family val="1"/>
        <charset val="161"/>
      </rPr>
      <t xml:space="preserve"> το περιγράφω κάτω σε αυτήν την στήλη.</t>
    </r>
    <r>
      <rPr>
        <sz val="11"/>
        <color rgb="FFFF0000"/>
        <rFont val="Times New Roman"/>
        <family val="1"/>
        <charset val="161"/>
      </rPr>
      <t xml:space="preserve"> </t>
    </r>
  </si>
  <si>
    <t>Κύκλος σε δευτερόλεπτα της μοίρας</t>
  </si>
  <si>
    <t>Ο Χρόνος Μήνα είναι ο χρόνος που παρήλθε από την 1 Ιανουαρίου του κάθε έτους.</t>
  </si>
  <si>
    <t>Αστρικό Έτος</t>
  </si>
  <si>
    <t xml:space="preserve">Ώρα </t>
  </si>
  <si>
    <t xml:space="preserve">αν το επάνω &gt;2040 ; 2 ; Το επάνω </t>
  </si>
  <si>
    <t>Ή Γή επάνω στην τροχιά της, δεν</t>
  </si>
  <si>
    <t>Είσοδος από χρονόμετρο</t>
  </si>
  <si>
    <t xml:space="preserve">αν η κόκκινη αν = 1 ; 1 ; Το επάνω                  </t>
  </si>
  <si>
    <t>συμπληρώνει σε ένα τροπικό έτος</t>
  </si>
  <si>
    <r>
      <rPr>
        <b/>
        <sz val="11"/>
        <color rgb="FF00B050"/>
        <rFont val="Times New Roman"/>
        <family val="1"/>
        <charset val="161"/>
      </rPr>
      <t xml:space="preserve">Για την θερινή Ώρα πληκτρολογούμε </t>
    </r>
    <r>
      <rPr>
        <b/>
        <sz val="11"/>
        <color rgb="FFFF0000"/>
        <rFont val="Times New Roman"/>
        <family val="1"/>
        <charset val="161"/>
      </rPr>
      <t>-1</t>
    </r>
  </si>
  <si>
    <t>μία πλήρη περιστροφή. Λόγο της</t>
  </si>
  <si>
    <t>Χρόνος Μήνα</t>
  </si>
  <si>
    <r>
      <rPr>
        <b/>
        <sz val="11"/>
        <color rgb="FF00B050"/>
        <rFont val="Times New Roman"/>
        <family val="1"/>
        <charset val="161"/>
      </rPr>
      <t>Για την Ώρα Ελλάδος</t>
    </r>
    <r>
      <rPr>
        <b/>
        <sz val="11"/>
        <color rgb="FFFF0000"/>
        <rFont val="Times New Roman"/>
        <family val="1"/>
        <charset val="161"/>
      </rPr>
      <t xml:space="preserve"> 0</t>
    </r>
  </si>
  <si>
    <t>Μη αποδεκτοί χαρακτήρες στο ΕΤΟΣ</t>
  </si>
  <si>
    <t>Διαφορά</t>
  </si>
  <si>
    <t>μετάπτωσης υπολείπονται 50΄΄,26 της μοίρας</t>
  </si>
  <si>
    <r>
      <t xml:space="preserve">Συντελεστής </t>
    </r>
    <r>
      <rPr>
        <sz val="11"/>
        <color rgb="FF0070C0"/>
        <rFont val="Times New Roman"/>
        <family val="1"/>
        <charset val="161"/>
      </rPr>
      <t>(24/366,2564)</t>
    </r>
  </si>
  <si>
    <t>Εκτός ορίων προγράμματος στο ΕΤΟΣ</t>
  </si>
  <si>
    <t>Κανονικά (κουτσοφλέβαρα)</t>
  </si>
  <si>
    <t>Μέρες που</t>
  </si>
  <si>
    <t xml:space="preserve">Συντελεστής </t>
  </si>
  <si>
    <t xml:space="preserve">Συντελεστή </t>
  </si>
  <si>
    <t>Χρόνου</t>
  </si>
  <si>
    <t>Αν θεωρήσουμε τα άστρα ως ακίνητα</t>
  </si>
  <si>
    <t>Ορθή Αναφορά αστέρα ή άλλου αντικειμένου</t>
  </si>
  <si>
    <t>Ώρα Ελλάδος ή Θερινή Ώρα…</t>
  </si>
  <si>
    <t>πέρασαν.</t>
  </si>
  <si>
    <t>και με μια ευθεία ενώσουμε το άστρο</t>
  </si>
  <si>
    <t>Γεωγραφικό Μήκος Στρογγύλης</t>
  </si>
  <si>
    <t xml:space="preserve">       Ο Πολικός Μεσουρανεί</t>
  </si>
  <si>
    <t>Γεω Μήκος.......</t>
  </si>
  <si>
    <t>με το κέντρο της τροχιά της Γης, τότε</t>
  </si>
  <si>
    <t>Γεω μήκος                19,36 έως 30 μόίρες</t>
  </si>
  <si>
    <t>Λογισμικό Διόρθωσης</t>
  </si>
  <si>
    <t>αυτή η ευθεία θα τέμνει σε ένα σημείο</t>
  </si>
  <si>
    <r>
      <t>Αν το επάνω =</t>
    </r>
    <r>
      <rPr>
        <b/>
        <sz val="11"/>
        <color rgb="FFFF0000"/>
        <rFont val="Times New Roman"/>
        <family val="1"/>
        <charset val="161"/>
      </rPr>
      <t xml:space="preserve"> 1</t>
    </r>
    <r>
      <rPr>
        <sz val="11"/>
        <color theme="1"/>
        <rFont val="Times New Roman"/>
        <family val="1"/>
        <charset val="161"/>
      </rPr>
      <t xml:space="preserve"> δίσεκτα, αν</t>
    </r>
    <r>
      <rPr>
        <b/>
        <sz val="11"/>
        <color rgb="FFFF0000"/>
        <rFont val="Times New Roman"/>
        <family val="1"/>
        <charset val="161"/>
      </rPr>
      <t xml:space="preserve"> 2</t>
    </r>
    <r>
      <rPr>
        <sz val="11"/>
        <color theme="1"/>
        <rFont val="Times New Roman"/>
        <family val="1"/>
        <charset val="161"/>
      </rPr>
      <t xml:space="preserve"> τα κανονικά</t>
    </r>
  </si>
  <si>
    <t>30 - Γεωγραφικό Μήκος τόπου παρατήρησης</t>
  </si>
  <si>
    <t xml:space="preserve">                              Enter</t>
  </si>
  <si>
    <t>είσοδος έτους</t>
  </si>
  <si>
    <t xml:space="preserve">την τροχιά της. </t>
  </si>
  <si>
    <t>Το επάνω / 15</t>
  </si>
  <si>
    <t>Σημειωματάριο Γεωγραφικών μηκών</t>
  </si>
  <si>
    <r>
      <t xml:space="preserve">Αστρικό Έτος </t>
    </r>
    <r>
      <rPr>
        <sz val="11"/>
        <color theme="1"/>
        <rFont val="Times New Roman"/>
        <family val="1"/>
        <charset val="161"/>
      </rPr>
      <t>λοιπόν,  είναι ο χρόνος</t>
    </r>
  </si>
  <si>
    <r>
      <t xml:space="preserve">Το επάνω/24*συντελεστή  </t>
    </r>
    <r>
      <rPr>
        <sz val="11"/>
        <color rgb="FFC00000"/>
        <rFont val="Times New Roman"/>
        <family val="1"/>
        <charset val="161"/>
      </rPr>
      <t>Σχόλιο</t>
    </r>
  </si>
  <si>
    <t>Ένδειξη δίσκου θέσης ΟΑ</t>
  </si>
  <si>
    <t>Όνομα τοποθεσίας</t>
  </si>
  <si>
    <t>Γωγραφικό Μήκος:</t>
  </si>
  <si>
    <t>Αν Isnumber = False ; 1 ; 0</t>
  </si>
  <si>
    <t xml:space="preserve">Συντελεστής Μήνα </t>
  </si>
  <si>
    <t>εκφρασμένος σε Ηλιακές ημέρες, που</t>
  </si>
  <si>
    <t>το ροζ - το επάνω</t>
  </si>
  <si>
    <t>Ο Δείκτης στα λεπτά!!!</t>
  </si>
  <si>
    <t>Τηλεσκόπιο Αρίσταρχος</t>
  </si>
  <si>
    <t>Αν Isnumber = False  ; 0 ; Είσοδος</t>
  </si>
  <si>
    <t>το επάνω - 2020</t>
  </si>
  <si>
    <t>χρειάζεται η Γη για να ξανάπερασει</t>
  </si>
  <si>
    <t xml:space="preserve"> Χρόνος μήνα - το επάνω</t>
  </si>
  <si>
    <t>Σαρωνίδα</t>
  </si>
  <si>
    <t xml:space="preserve">αν το επάνω &gt;30 ; 0 ; Το επάνω </t>
  </si>
  <si>
    <t>το επάνω/20*διαφορά</t>
  </si>
  <si>
    <t>από το ίδιο σημείο της τροχιάς της.</t>
  </si>
  <si>
    <t>Μέρες που πέρασαν από την 1 του μήνα</t>
  </si>
  <si>
    <t>Απέναντι από νησίδα Πάτροκλος</t>
  </si>
  <si>
    <t>αν το επάνω &lt;19,36 ; 0 ; Το επάνω     (Έξοδος)…</t>
  </si>
  <si>
    <t>συντελεστής του 2020-το επάνω</t>
  </si>
  <si>
    <t>Αν λοιπόν το τροπικό έτος μας δίνει</t>
  </si>
  <si>
    <t xml:space="preserve">Το επάνω * Συντελεστή </t>
  </si>
  <si>
    <t>Βοήθεια Εδώ</t>
  </si>
  <si>
    <t>Κιθαιρώνας - καταφύγιο</t>
  </si>
  <si>
    <t>αν το επάνω = 0 ; 2 ; 0</t>
  </si>
  <si>
    <t>τις ημέρες που λόγο της μετάπτωσης</t>
  </si>
  <si>
    <t>HD 224700</t>
  </si>
  <si>
    <r>
      <t xml:space="preserve">Κανονικά ή κουτσοφλέβαρα Έτη </t>
    </r>
    <r>
      <rPr>
        <b/>
        <sz val="11"/>
        <color rgb="FFFF0000"/>
        <rFont val="Times New Roman"/>
        <family val="1"/>
        <charset val="161"/>
      </rPr>
      <t>2</t>
    </r>
  </si>
  <si>
    <t>Το Χακί + το επάνω</t>
  </si>
  <si>
    <t>Πληροφορίες για τον στόχο</t>
  </si>
  <si>
    <t>Λεύκτρα - Άγιος Μάμας</t>
  </si>
  <si>
    <t xml:space="preserve">η Γή καλύπτει τμήμα της τροχιάς της, </t>
  </si>
  <si>
    <t>Το έτος 2000</t>
  </si>
  <si>
    <r>
      <t xml:space="preserve">Μεσουράνηση της ΟΑ  </t>
    </r>
    <r>
      <rPr>
        <b/>
        <sz val="11"/>
        <color theme="1"/>
        <rFont val="Times New Roman"/>
        <family val="1"/>
        <charset val="161"/>
      </rPr>
      <t xml:space="preserve">α=0 - </t>
    </r>
    <r>
      <rPr>
        <sz val="11"/>
        <color theme="1"/>
        <rFont val="Times New Roman"/>
        <family val="1"/>
        <charset val="161"/>
      </rPr>
      <t>το επάνω</t>
    </r>
  </si>
  <si>
    <t>Σίφνος</t>
  </si>
  <si>
    <t>πόσες ημέρες θα έχουμε όταν την κάνει</t>
  </si>
  <si>
    <r>
      <rPr>
        <b/>
        <sz val="11"/>
        <color theme="1"/>
        <rFont val="Times New Roman"/>
        <family val="1"/>
        <charset val="161"/>
      </rPr>
      <t>α</t>
    </r>
    <r>
      <rPr>
        <sz val="11"/>
        <color theme="1"/>
        <rFont val="Times New Roman"/>
        <family val="1"/>
        <charset val="161"/>
      </rPr>
      <t xml:space="preserve"> = 0:0΄:0,2΄΄</t>
    </r>
  </si>
  <si>
    <t>24 - συντελεστής</t>
  </si>
  <si>
    <t xml:space="preserve"> Ο στόχος βρίσκεται</t>
  </si>
  <si>
    <t>Δρυμώνας (12 ΠΕΕΑ)</t>
  </si>
  <si>
    <t>ολόκληρη την τροχιά της;</t>
  </si>
  <si>
    <t>Μεσουράνηση 1/1/2000</t>
  </si>
  <si>
    <t>Αν το κρί &lt;0;το επάνω ; 0</t>
  </si>
  <si>
    <t xml:space="preserve">        Ωριαία γωνία</t>
  </si>
  <si>
    <t>Με τα παραπάνω αριθμητικά δεδομένα</t>
  </si>
  <si>
    <t>Γεωγραφικό Μήκος 30</t>
  </si>
  <si>
    <r>
      <t xml:space="preserve">το γκρι + το επάνω  (Μεσουράνηση της ΟΑ  </t>
    </r>
    <r>
      <rPr>
        <b/>
        <sz val="11"/>
        <color theme="1"/>
        <rFont val="Times New Roman"/>
        <family val="1"/>
        <charset val="161"/>
      </rPr>
      <t>α = 0</t>
    </r>
    <r>
      <rPr>
        <sz val="11"/>
        <color theme="1"/>
        <rFont val="Times New Roman"/>
        <family val="1"/>
        <charset val="161"/>
      </rPr>
      <t>)</t>
    </r>
  </si>
  <si>
    <t>Ώρα……….</t>
  </si>
  <si>
    <t>υπολόγισα</t>
  </si>
  <si>
    <t>17 17΄ 37''</t>
  </si>
  <si>
    <t>Μεσουράνηση της ΟΑ (α = 0) την ώρα της παρατήρησης</t>
  </si>
  <si>
    <t xml:space="preserve">Λεπτά……. </t>
  </si>
  <si>
    <t>την τιμή του Αστρικού έτους.</t>
  </si>
  <si>
    <t>Δευτερόλεπτα….</t>
  </si>
  <si>
    <r>
      <t xml:space="preserve">Ηλιακές ημέρες </t>
    </r>
    <r>
      <rPr>
        <b/>
        <sz val="11"/>
        <color theme="1"/>
        <rFont val="Times New Roman"/>
        <family val="1"/>
        <charset val="161"/>
      </rPr>
      <t>αστρικού</t>
    </r>
    <r>
      <rPr>
        <sz val="11"/>
        <color theme="1"/>
        <rFont val="Times New Roman"/>
        <family val="1"/>
        <charset val="161"/>
      </rPr>
      <t xml:space="preserve"> έτους </t>
    </r>
  </si>
  <si>
    <t>Μεσουράνηση Πολικού (το έτος τάδε).</t>
  </si>
  <si>
    <r>
      <t xml:space="preserve">Αστρικές ημέρες </t>
    </r>
    <r>
      <rPr>
        <b/>
        <sz val="11"/>
        <color theme="1"/>
        <rFont val="Times New Roman"/>
        <family val="1"/>
        <charset val="161"/>
      </rPr>
      <t>αστρικού</t>
    </r>
    <r>
      <rPr>
        <sz val="11"/>
        <color theme="1"/>
        <rFont val="Times New Roman"/>
        <family val="1"/>
        <charset val="161"/>
      </rPr>
      <t xml:space="preserve"> έτους</t>
    </r>
  </si>
  <si>
    <t>Μεσουράνηση 1/1/2001</t>
  </si>
  <si>
    <t>Συντελεστής</t>
  </si>
  <si>
    <r>
      <t>(Λεπτά /60) + Ώρα</t>
    </r>
    <r>
      <rPr>
        <sz val="11"/>
        <color theme="6" tint="-0.249977111117893"/>
        <rFont val="Times New Roman"/>
        <family val="1"/>
        <charset val="161"/>
      </rPr>
      <t xml:space="preserve"> (Χρόνος παρατήρησης)</t>
    </r>
  </si>
  <si>
    <t>Συντελεστή ορίζω τον αριθμό εκείνο</t>
  </si>
  <si>
    <t xml:space="preserve">17 14΄ 41΄΄ </t>
  </si>
  <si>
    <t>Το επάνω - το πράσινο</t>
  </si>
  <si>
    <t xml:space="preserve">τον οποίο αν τον αφαιρέσω από την ώρα </t>
  </si>
  <si>
    <t xml:space="preserve">Αν το Κίτρινο &lt;0 ; 2 ; 1 </t>
  </si>
  <si>
    <t>της σημερινής μεσουράνησης  ενός αστέρα,</t>
  </si>
  <si>
    <t>Λάθος!!!</t>
  </si>
  <si>
    <t>το κίτρινο + 24</t>
  </si>
  <si>
    <t>θα προβλέψω την αυριανή.</t>
  </si>
  <si>
    <r>
      <t xml:space="preserve">Αν η κόκινη αν = </t>
    </r>
    <r>
      <rPr>
        <sz val="11"/>
        <color rgb="FFFF0000"/>
        <rFont val="Times New Roman"/>
        <family val="1"/>
        <charset val="161"/>
      </rPr>
      <t>2</t>
    </r>
    <r>
      <rPr>
        <sz val="11"/>
        <color theme="1"/>
        <rFont val="Times New Roman"/>
        <family val="1"/>
        <charset val="161"/>
      </rPr>
      <t xml:space="preserve"> ; Το μπλε ; Το κίτρινο</t>
    </r>
  </si>
  <si>
    <t>Ο Πολικός Βρίσκεται τώρα:</t>
  </si>
  <si>
    <t>Για τον υπολογισμό του θεωρώ την</t>
  </si>
  <si>
    <t>το κίτρινο * (4/1440)</t>
  </si>
  <si>
    <t>τροχιά της Γης "κύκλο" που αντί να</t>
  </si>
  <si>
    <t>Μεσουράνηση 1/1/2019</t>
  </si>
  <si>
    <t>Το επάνω + το γκρί</t>
  </si>
  <si>
    <t>Θερινή Ώρα - Ώρα Ελλάδος</t>
  </si>
  <si>
    <t>Έξοδος προς κυρίως λογισμικό</t>
  </si>
  <si>
    <t>Συντελεστής Μήνα</t>
  </si>
  <si>
    <t>τον βαθμονομήσω σε 360 μοίρες τον</t>
  </si>
  <si>
    <t>Τοπική αστρική Ώρα</t>
  </si>
  <si>
    <t xml:space="preserve"> βαθμονομώ σε 24 ώρες.</t>
  </si>
  <si>
    <t>20 18΄ 50΄΄</t>
  </si>
  <si>
    <t>Χρόνια που πέρασαν * το επάνω (έτος… - 2000)</t>
  </si>
  <si>
    <t>το επάνω - 2019</t>
  </si>
  <si>
    <t>24/αστρικές ημέρες αστρικού έτους</t>
  </si>
  <si>
    <t>50,26 /15</t>
  </si>
  <si>
    <t>24/366,256357607202</t>
  </si>
  <si>
    <t>το επάνω/3600</t>
  </si>
  <si>
    <t>αν το επάνω = -1 ; Το επάνω ; 0</t>
  </si>
  <si>
    <t>Συντελεστής    =</t>
  </si>
  <si>
    <t>Έξοδος προς το πρόγραμμα</t>
  </si>
  <si>
    <t>Χρόνια που πέρασαν * το επάνω</t>
  </si>
  <si>
    <t>αν είσοδος = 0 ; 0 ; 2</t>
  </si>
  <si>
    <t>το επάνω είναι σε ώρες</t>
  </si>
  <si>
    <t>HD 224578</t>
  </si>
  <si>
    <t>αν είσοδος = -1 ; -2 ; 0</t>
  </si>
  <si>
    <t>Κάτω στην συμμιγή μορφή:</t>
  </si>
  <si>
    <t>Το έτος 2019</t>
  </si>
  <si>
    <t>Άθροισμα τα δύο επάνω</t>
  </si>
  <si>
    <t>3 λεπτα και 55,9 δευτερόλεπτα</t>
  </si>
  <si>
    <t>α=0 0΄ 1,4΄΄</t>
  </si>
  <si>
    <t>ΟΑ α  αστέρος</t>
  </si>
  <si>
    <t xml:space="preserve">     -1 Για θερινή ώρα.  0 Για ώρα Ελλάδος</t>
  </si>
  <si>
    <t>Ώρα Μεσουράνησης ΟΑ α - ΟΑ αστέρος</t>
  </si>
  <si>
    <t>Λάθος πληκτρολόγηση!!! Πληκτρολογούμε:</t>
  </si>
  <si>
    <t>Το επάνω * Συντελεστή Μήνα</t>
  </si>
  <si>
    <t>24+το επάνω</t>
  </si>
  <si>
    <t>Καταγραφή Λάθους</t>
  </si>
  <si>
    <t>17 16΄ 4΄΄</t>
  </si>
  <si>
    <t>αν μωβ&lt;0;κίτρινο;μωβ</t>
  </si>
  <si>
    <t>Θερινή  Ώρα</t>
  </si>
  <si>
    <t>Μεσ πολικού - το επάνω</t>
  </si>
  <si>
    <t>Ωριαία γωνία</t>
  </si>
  <si>
    <t>Ώρα Ελλάδος</t>
  </si>
  <si>
    <t>Έξοδοι προς το πρόγραμμα</t>
  </si>
  <si>
    <t>Υπολογισμός αστρικού έτους</t>
  </si>
  <si>
    <t>12 - Ωριαία γωνία</t>
  </si>
  <si>
    <t>αν&lt;0; "ανατολικά";δυτικά</t>
  </si>
  <si>
    <t>το γκρι + το επάνω  (Μεσουράνηση πολικού)</t>
  </si>
  <si>
    <t>αν το κίτρινο = 0 ; Το επάνω ; ""</t>
  </si>
  <si>
    <t>το επάνω+Λάθος κλονισης</t>
  </si>
  <si>
    <t>Τιμή μετάπτωσης ανά έτος</t>
  </si>
  <si>
    <t>Ανατολικά</t>
  </si>
  <si>
    <t>Είσοδος λάθους από το κυρίως λογ του Από - Προς</t>
  </si>
  <si>
    <t>Ο Μήνας τελειώνει</t>
  </si>
  <si>
    <t>Ένδειξη δίσκου θέσης Ορθής Αναφοράς.</t>
  </si>
  <si>
    <t>Ηλιακές ημέρες τροπικού έτους</t>
  </si>
  <si>
    <t xml:space="preserve">Δυτικά </t>
  </si>
  <si>
    <t>Μέρες που πέρασσαν</t>
  </si>
  <si>
    <t>αν το επάνω = Ανατολικά ; Το Μωβ ; Το πράσινο</t>
  </si>
  <si>
    <t>Δευτερόλεπτα κύκλου-δευτερολ Μετάπτ</t>
  </si>
  <si>
    <t>το επάνω * -60</t>
  </si>
  <si>
    <t>Διόρθωση Κλόνισης</t>
  </si>
  <si>
    <t>δευτρολ κύκλου/το επάνω</t>
  </si>
  <si>
    <t>αν το επάνω&lt;0;0;το επάνω</t>
  </si>
  <si>
    <t>Για την θερινή Ώρα πληκτρολογούμε -1</t>
  </si>
  <si>
    <t>Με τους παραπάνω πίνακες το πρόγραμμα έδινε μία περιοδική ακρίβεια στους υπολογισμούς της μεσουράνησης</t>
  </si>
  <si>
    <t>το επάνω*ημερ τροπικού έτους</t>
  </si>
  <si>
    <t>αν το επάνω&gt;10;0;το επάνω</t>
  </si>
  <si>
    <t>Για την Ώρα Ελλάδος 0</t>
  </si>
  <si>
    <t xml:space="preserve">του πολικού. Από το πρώτο κιόλας έτος λειτουργία του έχανε 2 δευτερόλεπτα στην μεσουράνηση του πολικού </t>
  </si>
  <si>
    <t>αν Δευτερόλεπτα&gt;30;1;0</t>
  </si>
  <si>
    <r>
      <t xml:space="preserve">Ηλιακές ημέρες </t>
    </r>
    <r>
      <rPr>
        <b/>
        <sz val="11"/>
        <color theme="1"/>
        <rFont val="Times New Roman"/>
        <family val="1"/>
        <charset val="161"/>
      </rPr>
      <t>αστρικού</t>
    </r>
    <r>
      <rPr>
        <sz val="11"/>
        <color theme="1"/>
        <rFont val="Times New Roman"/>
        <family val="1"/>
        <charset val="161"/>
      </rPr>
      <t xml:space="preserve"> έτους  =  </t>
    </r>
  </si>
  <si>
    <t xml:space="preserve">    Σε</t>
  </si>
  <si>
    <t xml:space="preserve">την 31 Δεκεμβρίου. Το σφάλμα έτος με το έτος μεγάλωνε και έπαιρνε την μέγιστη τιμή του, το Δεκέμβριο </t>
  </si>
  <si>
    <t>το επάνω + λεπτα</t>
  </si>
  <si>
    <t>το επάνω + 1</t>
  </si>
  <si>
    <t>Αποτέλεσμα:</t>
  </si>
  <si>
    <t>του 2027 και έφτανε τα 34 δευτερόλεπτα καθυστέρηση. Από εκεί και πέρα βαίνει ελαττούμενο και ανάμεσα στα</t>
  </si>
  <si>
    <t>αν το επάνω&lt;60;0;1</t>
  </si>
  <si>
    <t xml:space="preserve"> λεπτά, θα διαβεί </t>
  </si>
  <si>
    <t>έτη 2034 με 2035 μηδενίζεται. Διότι το 2034 χάνει 3΄΄ ενώ το 2035 τρέχει κατά 3΄΄. Στον παρακάτω πίνακα φαίνεται</t>
  </si>
  <si>
    <t>αν το γκρί &lt;60 το γκρί ; 0 (λεπτα)</t>
  </si>
  <si>
    <t xml:space="preserve"> τον μεσημβρινό</t>
  </si>
  <si>
    <t>η πορεία του σφάλματος σε όλα τα έτη.</t>
  </si>
  <si>
    <t>έξοδος προς οθόνη</t>
  </si>
  <si>
    <t>ώρες + χακί</t>
  </si>
  <si>
    <t>Η Κλόνιση του άξονα της Γης.</t>
  </si>
  <si>
    <t>Άθροισμα των κίτρινων κελιών</t>
  </si>
  <si>
    <t>αν το επάνω&gt;24;0;το επάνω (Ώρα)</t>
  </si>
  <si>
    <t>αν το κίτρινο = 0 ; Τα επάνω ; ""</t>
  </si>
  <si>
    <t>Αυτή οφείλεται στη κίνηση των συνδέσμων της σεληνιακής τροχιάς επί της εκλειπτικής με περίοδο 18 και 2/3 ετών.</t>
  </si>
  <si>
    <t>Μεσουράνηση πολικού</t>
  </si>
  <si>
    <t>Παρατηρείται μια αυξομείωση της απόστασης του άξονα της Γης από τον άξονα της εκλειπτικής κατά 9΄΄ εκατέρωθεν</t>
  </si>
  <si>
    <t xml:space="preserve">μιας μέσης θέσης και με περίοδο 18 και 2/3 ετών. Η κλόνιση ανακαλύφθηκε από τον Bradley το 1728. Αποτέλεσμα της </t>
  </si>
  <si>
    <t>κλόνισης είναι, ο πόλος του ισημερινού, αντί να διαγράφει περιφέρεια κύκλου με κέντρο τον πόλο της εκλειπτικής,</t>
  </si>
  <si>
    <t>εξαιτίας του φαινομένου της μετάπτωσης  να διαγράφει τελικώς μια κυματοειδή καμπύλη.</t>
  </si>
  <si>
    <t xml:space="preserve">      Έχοντας πάρει μεσουράνηση την 1/1 κάθε έτους το σφάλμα τον Ιανουάριο είναι μηδενικό και παίρνει την </t>
  </si>
  <si>
    <t>Ώρα στον δίσκο θέσης της ορθής αναφοράς</t>
  </si>
  <si>
    <t>Ωριαία Γωνία</t>
  </si>
  <si>
    <t xml:space="preserve">μέγιστη τιμή τον Δεκέμβριο. </t>
  </si>
  <si>
    <t>αν το επάνω&lt;1 ; 1 ; 0</t>
  </si>
  <si>
    <t xml:space="preserve">      Με τον παρακάτω πίνακα και με μία απλή μέθοδο των τριών κάνω την διόρθωση σε κάθε ένα έτος ξεχωριστά.      </t>
  </si>
  <si>
    <t xml:space="preserve">         Ο στόχος βρίσκεται</t>
  </si>
  <si>
    <r>
      <t xml:space="preserve">Ακόμα περισσότερα για την κλόνιση στο </t>
    </r>
    <r>
      <rPr>
        <sz val="11"/>
        <color rgb="FFFF0000"/>
        <rFont val="Times New Roman"/>
        <family val="1"/>
        <charset val="161"/>
      </rPr>
      <t>"Φαινόμενο της Μαργαρίτας"</t>
    </r>
    <r>
      <rPr>
        <sz val="11"/>
        <color theme="1"/>
        <rFont val="Times New Roman"/>
        <family val="1"/>
        <charset val="161"/>
      </rPr>
      <t xml:space="preserve"> κάτω - κάτω σε αυτήν 5την στήλη.</t>
    </r>
  </si>
  <si>
    <t>το επάνω + ημέρα</t>
  </si>
  <si>
    <t>Λάθος σε</t>
  </si>
  <si>
    <t>Πλήθος</t>
  </si>
  <si>
    <t>ημερών</t>
  </si>
  <si>
    <t>Την 31 -  12</t>
  </si>
  <si>
    <t>Μέρες που πέρασαν</t>
  </si>
  <si>
    <t>μέρες που πέρασαν/πλήθος ημερών*λάθος του έτους.</t>
  </si>
  <si>
    <t xml:space="preserve">      Το σφάλμα σε δευτερόλεπτα =</t>
  </si>
  <si>
    <t xml:space="preserve">                         το επάνω/3600</t>
  </si>
  <si>
    <t>Το φαινόμενο της "μαργαρίτας"</t>
  </si>
  <si>
    <t>Αυτός ο όρος δεν υπάρχει. Τον επινόησα για να μπορώ να συνεννοούμαι με τον εαυτόν μου.</t>
  </si>
  <si>
    <t>Φανταζόμαστε την τροχιά της Σελήνης σαν μία πολύ μακριά έλλειψη όπως τα πέταλα της μαργαρίτας.</t>
  </si>
  <si>
    <t>Κάθε Σεληνιακό μήνα η Σελήνη εκτελεί μια τέτοια. Όμως κάθε μήνα η μία τροχιά δεν συμπίπτει ακριβώς επάνω στην άλλη,</t>
  </si>
  <si>
    <t xml:space="preserve">σαν να είναι μία τροχιά, αλλά με εστία της έλλειψης, την Γη, μετατίθεται λιγάκι δίπλα στην προηγούμενη. </t>
  </si>
  <si>
    <t>Σε 18 χρόνια και 8 περίπου μήνες θα έχουμε ένα σχήμα που θα μοιάζει με μαργαρίτα.</t>
  </si>
  <si>
    <t>Το επίπεδο που ορίζουν αυτές οι τροχιές δεν είναι κάθετο στον άξονα περιστροφής της Γης, αλλά δημιουργεί</t>
  </si>
  <si>
    <t>μία μικρή γωνία με αυτόν.</t>
  </si>
  <si>
    <t>Το ελλειψοειδές σχήμα της Γής είναι κάθετο στον άξονα περιστροφής της. Έτσι λοιπόν η Σελήνη λόγο</t>
  </si>
  <si>
    <t>του φαινομένου της μαργαρίτας άλλοτε βρίσκεται λίγο πιο πάνω από το Γήινο εξόγκωμα και το έλκει προς</t>
  </si>
  <si>
    <t>τα επάνω, κι άλλοτε βρίσκεται πιο κάτω και το έλκει προς τα κάτω.</t>
  </si>
  <si>
    <t>Η βαρύτητα δηλαδή απαιτεί ο μεγάλος άξονας του γήινου ελλειψοειδούς να ευθυγραμμιστεί με την σελήνη.</t>
  </si>
  <si>
    <t>Καθώς έλκεται προς αυτή, και ως ένα βαθμό ανταποκρίνεται, μαζί με το γήινο εξόγκωμα γέρνει λίγο και ο</t>
  </si>
  <si>
    <t>άξονας περιστροφής. Έτσι λοιπόν ανά 18 και 8 μηνες/2 (9 χρόνια και 4 μήνες) έχει αλλάξει διεύθυνση.</t>
  </si>
  <si>
    <r>
      <t>Το φαινόμενο, αυτής της κίνησης του άξονα της Γής ονομάζεται</t>
    </r>
    <r>
      <rPr>
        <b/>
        <sz val="11"/>
        <color theme="1"/>
        <rFont val="Times New Roman"/>
        <family val="1"/>
        <charset val="161"/>
      </rPr>
      <t xml:space="preserve"> Κλονίση</t>
    </r>
    <r>
      <rPr>
        <sz val="11"/>
        <color theme="1"/>
        <rFont val="Times New Roman"/>
        <family val="1"/>
        <charset val="161"/>
      </rPr>
      <t>.</t>
    </r>
  </si>
  <si>
    <t>Το ίδιο ακριβώς φαινόμενο της  Μαργαρίτας φαίνεται να παρουσιάζει και η Γή. Μόνο που ο κύκλος του</t>
  </si>
  <si>
    <t>φαινομένου έχει διάρκεια 150.000 χρόνια. Αυτό όμως έχει συνέπεια στον τρόπο που υπολογίζουμε</t>
  </si>
  <si>
    <t xml:space="preserve">τις μεσουρανήσεις, διότι σύμφωνα με τον </t>
  </si>
  <si>
    <t xml:space="preserve"> Δεύτερο Νόμου του Κέπλερ, ο κάθε πλανήτης δεν περιστρέφεται με</t>
  </si>
  <si>
    <t xml:space="preserve">Το παραπάνω λοιπόν φαινόμενο έχει δημιουργήσει την εξής κατάσταση. </t>
  </si>
  <si>
    <t>Το ταχύτερο σημείο τροχιακής ταχύτητας της Γής (το περιήλιο) δεν είναι το Δεκέμβριο που</t>
  </si>
  <si>
    <t xml:space="preserve">"λογικά" θα έπρεπε να είναι, αλλά είναι τον Ιανουάριο, και το αφήλιο τον Ιούλιο. </t>
  </si>
  <si>
    <t xml:space="preserve">Και καθώς περνά ο χρόνος το αφήλιο και το παρήλιο αλλάζουν ημερομηνία. </t>
  </si>
  <si>
    <t>Με αποτέλεσμα κάθε έτος θα πρέπει να ξέρουμε που ακριβώς είναι οι κορυφές της ελλείψεις της Γης,</t>
  </si>
  <si>
    <t>και βάση αυτών των δεδομένων να εφαρμόσουμε τα μαθηματικά εκείνα που απορρέουν από τον</t>
  </si>
  <si>
    <t>δεύτερο νόμο του Κέπλερ.</t>
  </si>
  <si>
    <t>Με το φαινόμενο της Μαργαρίτας μπορούμε να ερμηνεύσουμε και το φαινόμενο των εκλείψεων.</t>
  </si>
  <si>
    <t>Το επίπεδο "της Μαργαρίτας" ούτε ανήκει ούτε είναι παράλληλο με το επίπεδο της ελλειπτικής,</t>
  </si>
  <si>
    <t xml:space="preserve">αλλά δημιουργεί και με αυτό γωνία και τα δύο επίπεδα τέμνονται. </t>
  </si>
  <si>
    <t>Όταν η Σελήνη βρεθεί σε αυτά τα σημεία τομής, τους "δεσμούς" με την εκλειπτική, τότε τα τρία ουράνια</t>
  </si>
  <si>
    <t>σώματα, (Ήλιος Γη Σελήνη),  ευθυγραμμίζονται και υπάρχουν εκλείψεις.</t>
  </si>
  <si>
    <t>Διαφορετικά ακόμα κι αν είναι ή πανσέληνος, ή νέα Σελήνη, αυτή θα βρίσκεται ή πιο ψηλά ή πιο χαμηλά,</t>
  </si>
  <si>
    <t>με αποτέλεσμα η σκιά του ενός να μην πέφτει επάνω στο άλλο και να μην δημιουργούνται εκλείψεις.</t>
  </si>
  <si>
    <t>έξοσδος λαθών προγρ πολ ευθ</t>
  </si>
  <si>
    <t>Γενικό άθροισμα λαθών</t>
  </si>
  <si>
    <t>Λάθος πληκτρολόγηση στην πολική ευθυγράμμιση</t>
  </si>
  <si>
    <t>άθροισμα λαθών προγρ πολικής ευθυγράμ</t>
  </si>
  <si>
    <t>1) Eλέγξτε την πληκτρολόγηση σας.</t>
  </si>
  <si>
    <t xml:space="preserve">Μη αποδεκτοί χαρακτήρες </t>
  </si>
  <si>
    <t xml:space="preserve">Για ανανέωση του χρόνου γράψτε 1 χαρακτήρα </t>
  </si>
  <si>
    <r>
      <t>και πατήστε</t>
    </r>
    <r>
      <rPr>
        <b/>
        <sz val="11"/>
        <color rgb="FF00B050"/>
        <rFont val="Times New Roman"/>
        <family val="1"/>
        <charset val="161"/>
      </rPr>
      <t xml:space="preserve"> Enter</t>
    </r>
  </si>
  <si>
    <r>
      <t xml:space="preserve">και πατήστε </t>
    </r>
    <r>
      <rPr>
        <b/>
        <sz val="11"/>
        <color theme="1"/>
        <rFont val="Times New Roman"/>
        <family val="1"/>
        <charset val="161"/>
      </rPr>
      <t>Enter</t>
    </r>
  </si>
  <si>
    <t>Πολική Ευθυγράμμιση. Για τα Έτη 2019 έως 2040 &amp; Γεωγραφικά μήκη από 19,36 έως 30 μοίρες!</t>
  </si>
  <si>
    <t>Για να συνεχίσετε, γυρίστε στο Φύλλο 3 και διορθώστε το!</t>
  </si>
  <si>
    <t>Λάθος πληκτρολόγηση στο προγρ πολικής ευθυγράμμισης!!!</t>
  </si>
  <si>
    <t>Εκτός ορίων προγράμματος! Γεωγρ Μήκ. Από 19,36 έως 30 μοίρες.</t>
  </si>
  <si>
    <t>Ανανέωση χρόνου</t>
  </si>
  <si>
    <t>r1</t>
  </si>
  <si>
    <t>ro1</t>
  </si>
  <si>
    <t>r2</t>
  </si>
  <si>
    <t>ro3</t>
  </si>
  <si>
    <t>ro2</t>
  </si>
  <si>
    <t>r3</t>
  </si>
  <si>
    <t>ρ1</t>
  </si>
  <si>
    <t>ρ2</t>
  </si>
  <si>
    <t>ρ3</t>
  </si>
  <si>
    <t>ρ1 eri</t>
  </si>
  <si>
    <t>ρ1 Ηριδανού</t>
  </si>
  <si>
    <t>ρ2 eri</t>
  </si>
  <si>
    <t>ρ3 eri</t>
  </si>
  <si>
    <t>ρ3 Ηριδανού</t>
  </si>
  <si>
    <t>ngc 1035</t>
  </si>
  <si>
    <t>NGC 1035-12,2 Γαλαξίας</t>
  </si>
  <si>
    <t>ω eri</t>
  </si>
  <si>
    <t xml:space="preserve">ω Eri </t>
  </si>
  <si>
    <t>ω Ηριδανού</t>
  </si>
  <si>
    <t>ο1 Ηριδανού</t>
  </si>
  <si>
    <t>ο1 Eridanus</t>
  </si>
  <si>
    <t>ngc 2023</t>
  </si>
  <si>
    <t>Νεφέλινος Πήγασος</t>
  </si>
  <si>
    <t>Νεφέλωμα της κεφαλής του ίππου</t>
  </si>
  <si>
    <t>ngc 2024</t>
  </si>
  <si>
    <t>Νεφέλωμα της φλόγας</t>
  </si>
  <si>
    <t>Νεφέλωμα πεταλούδα</t>
  </si>
  <si>
    <t>α lyn</t>
  </si>
  <si>
    <t>τ2 hya</t>
  </si>
  <si>
    <t>τ2 Hydra</t>
  </si>
  <si>
    <t>41 lmi</t>
  </si>
  <si>
    <t>41 Μικρού Λέοντα</t>
  </si>
  <si>
    <t>41 Leo Minor</t>
  </si>
  <si>
    <t>κ leo</t>
  </si>
  <si>
    <t>κ Λέοντος</t>
  </si>
  <si>
    <t>ngc 3226</t>
  </si>
  <si>
    <t>NGC 3226-11,4 Γαλαξίας</t>
  </si>
  <si>
    <t>ngc 3953</t>
  </si>
  <si>
    <t>ngc 4485</t>
  </si>
  <si>
    <t>NGC 4490- 9,5 Γαλαξίας</t>
  </si>
  <si>
    <t>χ vir</t>
  </si>
  <si>
    <t>χ Παρθένου</t>
  </si>
  <si>
    <t>ψ vir</t>
  </si>
  <si>
    <t>ψ Παρθένου</t>
  </si>
  <si>
    <t>μ hya</t>
  </si>
  <si>
    <t>μ Hydra</t>
  </si>
  <si>
    <t>φ leo</t>
  </si>
  <si>
    <t>φ Λέοντος</t>
  </si>
  <si>
    <t>φ Leo</t>
  </si>
  <si>
    <t>ngc 3585</t>
  </si>
  <si>
    <t>NGC 3585-9,9 Γαλαξίας</t>
  </si>
  <si>
    <t>κ crb</t>
  </si>
  <si>
    <t>α crb</t>
  </si>
  <si>
    <t>γ crb</t>
  </si>
  <si>
    <t>β crb</t>
  </si>
  <si>
    <t>δ crb</t>
  </si>
  <si>
    <t>ε crb</t>
  </si>
  <si>
    <t>ζ1 crb</t>
  </si>
  <si>
    <t>ι crb</t>
  </si>
  <si>
    <t>π crb</t>
  </si>
  <si>
    <t>σ crb</t>
  </si>
  <si>
    <t>ι boo</t>
  </si>
  <si>
    <t>λ boo</t>
  </si>
  <si>
    <t>ο boo</t>
  </si>
  <si>
    <t>ρ boo</t>
  </si>
  <si>
    <t>σ boo</t>
  </si>
  <si>
    <t>τ boo</t>
  </si>
  <si>
    <t>υ boo</t>
  </si>
  <si>
    <t>ρ crb</t>
  </si>
  <si>
    <t>θ crb</t>
  </si>
  <si>
    <t>β Ηρακλέους</t>
  </si>
  <si>
    <t>ν Ηρακλέους</t>
  </si>
  <si>
    <t>κ oph</t>
  </si>
  <si>
    <t>κ Οφιούχου</t>
  </si>
  <si>
    <t>ι oph</t>
  </si>
  <si>
    <t>λ oph</t>
  </si>
  <si>
    <t>υ oph</t>
  </si>
  <si>
    <t>υ Οφιούχου</t>
  </si>
  <si>
    <t>ι1 sco</t>
  </si>
  <si>
    <t>ι1 Σκορπιού</t>
  </si>
  <si>
    <t>ι1 Scorpius</t>
  </si>
  <si>
    <t>θ cyg</t>
  </si>
  <si>
    <t>θ Κύκνου</t>
  </si>
  <si>
    <t>θ Cygnus</t>
  </si>
  <si>
    <t>φ cyg</t>
  </si>
  <si>
    <t>φ Cygnus</t>
  </si>
  <si>
    <t>φ Κύκνου</t>
  </si>
  <si>
    <t>η Δελφίνος</t>
  </si>
  <si>
    <t>η Delphinus</t>
  </si>
  <si>
    <t>κ Δελφίνος</t>
  </si>
  <si>
    <t>κ Delphinus</t>
  </si>
  <si>
    <t>ι Delphinus</t>
  </si>
  <si>
    <t>ι Δελφίνος</t>
  </si>
  <si>
    <t>ngc 6995</t>
  </si>
  <si>
    <t>Νεφέλωμα Δαντέλα</t>
  </si>
  <si>
    <t>ι aql</t>
  </si>
  <si>
    <t>η aql</t>
  </si>
  <si>
    <t>β sgr</t>
  </si>
  <si>
    <t>η Aquila</t>
  </si>
  <si>
    <t>ι Aquila</t>
  </si>
  <si>
    <t>β Τοξότου</t>
  </si>
  <si>
    <t>β Sagittarius</t>
  </si>
  <si>
    <t>α Sagitta</t>
  </si>
  <si>
    <t>β Sagitta</t>
  </si>
  <si>
    <t>γ Sagitta</t>
  </si>
  <si>
    <t>δ Sagitta</t>
  </si>
  <si>
    <t>ο peg</t>
  </si>
  <si>
    <t>ψ peg</t>
  </si>
  <si>
    <t>ο Πηγάσου</t>
  </si>
  <si>
    <t>ψ Πηγάσου</t>
  </si>
  <si>
    <t>ο Pegasus</t>
  </si>
  <si>
    <t>ψ Pegasus</t>
  </si>
  <si>
    <t>ngc 6445</t>
  </si>
  <si>
    <t>ngc 6440</t>
  </si>
  <si>
    <t>NGC 6445</t>
  </si>
  <si>
    <t>Σφαιρωτό Σμήνος</t>
  </si>
  <si>
    <t>Νέα πολική Διόπτρα της SW</t>
  </si>
  <si>
    <t>Νεα πολική διόπτρα της SW</t>
  </si>
  <si>
    <r>
      <t>Νυχτερινή α)</t>
    </r>
    <r>
      <rPr>
        <sz val="11"/>
        <color rgb="FF92D050"/>
        <rFont val="Times New Roman"/>
        <family val="1"/>
        <charset val="161"/>
      </rPr>
      <t xml:space="preserve"> =1</t>
    </r>
  </si>
  <si>
    <r>
      <t>Νυχτερινή β)</t>
    </r>
    <r>
      <rPr>
        <sz val="11"/>
        <color rgb="FF00B050"/>
        <rFont val="Times New Roman"/>
        <family val="1"/>
        <charset val="161"/>
      </rPr>
      <t xml:space="preserve"> </t>
    </r>
    <r>
      <rPr>
        <sz val="11"/>
        <color rgb="FF92D050"/>
        <rFont val="Times New Roman"/>
        <family val="1"/>
        <charset val="161"/>
      </rPr>
      <t>=2</t>
    </r>
  </si>
  <si>
    <r>
      <t xml:space="preserve">Προγραμματισμού </t>
    </r>
    <r>
      <rPr>
        <sz val="11"/>
        <color rgb="FF92D050"/>
        <rFont val="Times New Roman"/>
        <family val="1"/>
        <charset val="161"/>
      </rPr>
      <t>=4</t>
    </r>
  </si>
  <si>
    <t>Νέα πολική διόπτρα της SW</t>
  </si>
  <si>
    <t xml:space="preserve"> το πράσινο περιγεγραμμένο</t>
  </si>
  <si>
    <t xml:space="preserve"> το επάνω -12</t>
  </si>
  <si>
    <t>το επάνω /2</t>
  </si>
  <si>
    <t>το επάνω*-1</t>
  </si>
  <si>
    <t>12-το κίκτρινο</t>
  </si>
  <si>
    <t>αν το γαλάζιο &lt;0; Το επάνω ; Το γαλάζιο.</t>
  </si>
  <si>
    <t>Έξοδος στο πρόγραμμα</t>
  </si>
  <si>
    <t>Πληροφορίες για το ΑΠΟ</t>
  </si>
  <si>
    <t>Πληροφορίες για τον στόχο (ΠΡΟΣ)</t>
  </si>
  <si>
    <t>Αν η ΟΑ = 0 ΄; 1 ; 0</t>
  </si>
  <si>
    <t xml:space="preserve">για να  διαβεί τον μεσημβρινό </t>
  </si>
  <si>
    <t>λεπτά απομένουν για να</t>
  </si>
  <si>
    <t>Το ΑΠΟ</t>
  </si>
  <si>
    <r>
      <t xml:space="preserve">Το </t>
    </r>
    <r>
      <rPr>
        <b/>
        <sz val="11"/>
        <color theme="1"/>
        <rFont val="Times New Roman"/>
        <family val="1"/>
        <charset val="161"/>
      </rPr>
      <t>ΠΡΟΣ</t>
    </r>
  </si>
  <si>
    <t>Πολύ μικρό - φωτεινό 200Χ</t>
  </si>
  <si>
    <t>Μεγάλο αμυδρό + φίλτρο</t>
  </si>
  <si>
    <r>
      <t xml:space="preserve">Είσοδος </t>
    </r>
    <r>
      <rPr>
        <sz val="11"/>
        <color theme="1"/>
        <rFont val="Times New Roman"/>
        <family val="1"/>
        <charset val="161"/>
      </rPr>
      <t xml:space="preserve">(Για θερινή ώρα </t>
    </r>
    <r>
      <rPr>
        <b/>
        <sz val="11"/>
        <color rgb="FFFF0000"/>
        <rFont val="Times New Roman"/>
        <family val="1"/>
        <charset val="161"/>
      </rPr>
      <t>-1</t>
    </r>
    <r>
      <rPr>
        <sz val="11"/>
        <color theme="1"/>
        <rFont val="Times New Roman"/>
        <family val="1"/>
        <charset val="161"/>
      </rPr>
      <t>)</t>
    </r>
  </si>
  <si>
    <t>Μήνας 3 τελειώνει</t>
  </si>
  <si>
    <t>Μήνας 4 τελειώνει</t>
  </si>
  <si>
    <t>Μήνας 5 τελειώνει</t>
  </si>
  <si>
    <t>Μήνας 6 τελειώνει</t>
  </si>
  <si>
    <t>Μήνας 7 τελειώνει</t>
  </si>
  <si>
    <t>Μήνας 8 τελειώνει</t>
  </si>
  <si>
    <t>Μήνας 9 τελειώνει</t>
  </si>
  <si>
    <t>Μήνας 10 τελειώνει</t>
  </si>
  <si>
    <t>Προηγούμενος μήνας = Μήνας - 1</t>
  </si>
  <si>
    <t>Ώρα Ελλάδος = θερινή Ώρα  -1</t>
  </si>
  <si>
    <t>αν Ώρα Ελλάδος = -1 ; 23 ; Ώρα Ελλάδος</t>
  </si>
  <si>
    <t>αν Ώρα Ελλάδος = -1 ; -1 ; 0</t>
  </si>
  <si>
    <t>αν θερινή ώρα = -1 ; 1 ; 0</t>
  </si>
  <si>
    <t>αν ημέρα μήνα = 1 ; 1 ;0</t>
  </si>
  <si>
    <t>αν άθροισμα = 2 ; Ημέρα προηγούμενου μήνα</t>
  </si>
  <si>
    <t>έξοδος ημέρα</t>
  </si>
  <si>
    <t>αν ημέρα μήνα = 1 ; 1 ; 0</t>
  </si>
  <si>
    <t>αν ;άθροισμα = 2 ; Ο προηγούμενος μήνας ; Ο τρέχον</t>
  </si>
  <si>
    <t>Πίνακας εξόδου προς το πρόγραμμα</t>
  </si>
  <si>
    <t>Μετατροπή ώρας στο δεκαδικό σύστημα</t>
  </si>
  <si>
    <t>δευτερόλεπτα/60</t>
  </si>
  <si>
    <t>(λεπτά + το επάνω)/60</t>
  </si>
  <si>
    <t>Ώρες + το επάνω</t>
  </si>
  <si>
    <t xml:space="preserve">Πίνακας εξόδου </t>
  </si>
  <si>
    <t>ε Equ</t>
  </si>
  <si>
    <t>ε Ιππαρίου Διπλός</t>
  </si>
  <si>
    <t>ε Equuleus</t>
  </si>
  <si>
    <t>α Μικροσκοπίου</t>
  </si>
  <si>
    <t>α Microscopium</t>
  </si>
  <si>
    <t>γ Μικροσκοπίου</t>
  </si>
  <si>
    <t>γ Microscopium</t>
  </si>
  <si>
    <t>ε Μικροσκοπίου</t>
  </si>
  <si>
    <t>ε Microscopium</t>
  </si>
  <si>
    <t>α mic</t>
  </si>
  <si>
    <t>γ mic</t>
  </si>
  <si>
    <t>ε mic</t>
  </si>
  <si>
    <t>αα</t>
  </si>
  <si>
    <t>η Αετου</t>
  </si>
  <si>
    <t>ι Αετου</t>
  </si>
  <si>
    <t>ι Βοώτου</t>
  </si>
  <si>
    <t>ι Boo</t>
  </si>
  <si>
    <t>λ Βοώτου</t>
  </si>
  <si>
    <t>λ Boo</t>
  </si>
  <si>
    <t>ο Βοώτου</t>
  </si>
  <si>
    <t>ο Boo</t>
  </si>
  <si>
    <t>ρ Βοώτου</t>
  </si>
  <si>
    <t>ρ Boo</t>
  </si>
  <si>
    <t>σ Βοώτου</t>
  </si>
  <si>
    <t>σ Boo</t>
  </si>
  <si>
    <t>τ Βοώτου</t>
  </si>
  <si>
    <t>τ Boo</t>
  </si>
  <si>
    <t>υ Βοώτου</t>
  </si>
  <si>
    <t>υ Boo</t>
  </si>
  <si>
    <t>η Del</t>
  </si>
  <si>
    <t>ι Del</t>
  </si>
  <si>
    <t>κ Del</t>
  </si>
  <si>
    <t>κ Δράκοντα. Διπλός</t>
  </si>
  <si>
    <t>κ Draco. Διπλός</t>
  </si>
  <si>
    <t>Πλανητικό Νεφέλωμα "Αστρο"</t>
  </si>
  <si>
    <t>ν Her</t>
  </si>
  <si>
    <t>ν Hercules</t>
  </si>
  <si>
    <t>ρ1 Eridanus</t>
  </si>
  <si>
    <t>ρ2 Ηριδανου</t>
  </si>
  <si>
    <t>Διπλός - Πολλαπλός</t>
  </si>
  <si>
    <t>ρ3 Eridanus</t>
  </si>
  <si>
    <t xml:space="preserve">γ Κύκνου </t>
  </si>
  <si>
    <t xml:space="preserve">γ Cygnus </t>
  </si>
  <si>
    <t>κ Leo</t>
  </si>
  <si>
    <t>Μ46. Ανοιχτό Σμήνος + Πλανητικό νεφέλωμα.</t>
  </si>
  <si>
    <t>μ 52</t>
  </si>
  <si>
    <t>Μ52. Ανοιχτό Σμήνος</t>
  </si>
  <si>
    <t>M52 5000 Ly</t>
  </si>
  <si>
    <t>NGC 3953-10 Γαλαξίας</t>
  </si>
  <si>
    <t>NGC 4485- 12 Γαλαξίας</t>
  </si>
  <si>
    <t xml:space="preserve">NGC 6440  </t>
  </si>
  <si>
    <t>NGC 6995 Νεφέλωμα</t>
  </si>
  <si>
    <t>ι Οφιούχου</t>
  </si>
  <si>
    <t>ι Ophiuchus</t>
  </si>
  <si>
    <t>κ Ophiuchus</t>
  </si>
  <si>
    <t>λ Οφιούχου Διπλός.</t>
  </si>
  <si>
    <t>λ Ophiuchus</t>
  </si>
  <si>
    <t>υ Ophiuchus</t>
  </si>
  <si>
    <t>χ Virgo</t>
  </si>
  <si>
    <t>ψ Virgo</t>
  </si>
  <si>
    <t>θ Βόρειου Στέφανου.</t>
  </si>
  <si>
    <t>θ Corona Borealis</t>
  </si>
  <si>
    <t>ρ Βόρειου Στέφανου.</t>
  </si>
  <si>
    <t>ρ Corona Borealis</t>
  </si>
  <si>
    <t>μ  Ύδρας</t>
  </si>
  <si>
    <t>Ύδρα τ2</t>
  </si>
  <si>
    <t>υ Ύδρας</t>
  </si>
  <si>
    <t>υ Hydra</t>
  </si>
  <si>
    <t>"Αστερισμός "</t>
  </si>
  <si>
    <t>Να μην γραφτεί τίποτα</t>
  </si>
  <si>
    <t>1) Δεν υπάρχει καταχώριση.</t>
  </si>
  <si>
    <t>2) Ελέγξτε την πληκτρολόγηση σας.</t>
  </si>
  <si>
    <t>Πληκτρολογήσατε αριθμό</t>
  </si>
  <si>
    <t>Γυρίστε το πληκτρολόγιο στα Ελληνικά!</t>
  </si>
  <si>
    <t>Προσοχή!!! Να μην γραφτεί τίποτα από εδώ και κάτω.</t>
  </si>
  <si>
    <t>Τέλος καταλόγου</t>
  </si>
  <si>
    <t xml:space="preserve">        A/A</t>
  </si>
  <si>
    <t>Μετάπτωση του Ίππαρχου</t>
  </si>
  <si>
    <t>Αποτελέσματα</t>
  </si>
  <si>
    <t>Ορθή αναφορά α       (Στην δεκαδική μορφή)</t>
  </si>
  <si>
    <t>Υπολογισμός της μετάπτωσης στις εκλειπτικές συντεταγμένες</t>
  </si>
  <si>
    <t>Απόκλιση δ              (Στην δεκαδική μορφή)</t>
  </si>
  <si>
    <t xml:space="preserve">Είσοδος Προγράμματος </t>
  </si>
  <si>
    <t>Εκλειπτικές συντεταγμένες του 2000</t>
  </si>
  <si>
    <r>
      <t>Ορθή αναφορά</t>
    </r>
    <r>
      <rPr>
        <b/>
        <i/>
        <sz val="11"/>
        <color theme="1"/>
        <rFont val="Times New Roman"/>
        <family val="1"/>
        <charset val="161"/>
      </rPr>
      <t xml:space="preserve"> α       </t>
    </r>
    <r>
      <rPr>
        <sz val="11"/>
        <color theme="1"/>
        <rFont val="Times New Roman"/>
        <family val="1"/>
        <charset val="161"/>
      </rPr>
      <t>(Στην δεκαδική μορφή)</t>
    </r>
  </si>
  <si>
    <r>
      <t xml:space="preserve">Ανατολικά - Δυτικά. Συντεταγμένη L του έτους 2000           </t>
    </r>
    <r>
      <rPr>
        <b/>
        <sz val="11"/>
        <color rgb="FF0070C0"/>
        <rFont val="Times New Roman"/>
        <family val="1"/>
        <charset val="161"/>
      </rPr>
      <t>L</t>
    </r>
  </si>
  <si>
    <r>
      <t xml:space="preserve">Απόκλιση </t>
    </r>
    <r>
      <rPr>
        <b/>
        <i/>
        <sz val="11"/>
        <color theme="1"/>
        <rFont val="Times New Roman"/>
        <family val="1"/>
        <charset val="161"/>
      </rPr>
      <t xml:space="preserve">δ              </t>
    </r>
    <r>
      <rPr>
        <sz val="11"/>
        <color theme="1"/>
        <rFont val="Times New Roman"/>
        <family val="1"/>
        <charset val="161"/>
      </rPr>
      <t>(Στην δεκαδική μορφή)</t>
    </r>
  </si>
  <si>
    <r>
      <t xml:space="preserve">Απόκλιση   </t>
    </r>
    <r>
      <rPr>
        <b/>
        <i/>
        <sz val="11"/>
        <color rgb="FFC00000"/>
        <rFont val="Times New Roman"/>
        <family val="1"/>
        <charset val="161"/>
      </rPr>
      <t>Β</t>
    </r>
  </si>
  <si>
    <t xml:space="preserve">Είσοδος </t>
  </si>
  <si>
    <t>Συντεταγμένη L ( Ανατολικά - Δυτικά)</t>
  </si>
  <si>
    <t>Τιμή μετάπτωσης ανά έτος 50΄΄,26 δευτερόλεπτα της μοίρας</t>
  </si>
  <si>
    <r>
      <t xml:space="preserve">Απόκλιση </t>
    </r>
    <r>
      <rPr>
        <i/>
        <sz val="11"/>
        <rFont val="Times New Roman"/>
        <family val="1"/>
        <charset val="161"/>
      </rPr>
      <t>Β</t>
    </r>
  </si>
  <si>
    <t>Η περιφέρια του κύκλου σε δευτερόλεπτα της μοίρας…………</t>
  </si>
  <si>
    <t>Έτος - 2000</t>
  </si>
  <si>
    <t>Λόξωση της εκλειπτικής σε μοίρες</t>
  </si>
  <si>
    <r>
      <t xml:space="preserve">Συντεταγμένη L </t>
    </r>
    <r>
      <rPr>
        <sz val="11"/>
        <color theme="0"/>
        <rFont val="Times New Roman"/>
        <family val="1"/>
        <charset val="161"/>
      </rPr>
      <t>( Ανατολικά - Δυτικά)</t>
    </r>
  </si>
  <si>
    <t xml:space="preserve">το επάνω * τιμή της μετάπτωσης </t>
  </si>
  <si>
    <t>Ημίτονο λόξωσης της εκλειπτικής</t>
  </si>
  <si>
    <r>
      <rPr>
        <b/>
        <sz val="11"/>
        <color theme="0"/>
        <rFont val="Times New Roman"/>
        <family val="1"/>
        <charset val="161"/>
      </rPr>
      <t xml:space="preserve">Απόκλιση </t>
    </r>
    <r>
      <rPr>
        <b/>
        <i/>
        <sz val="11"/>
        <color theme="0"/>
        <rFont val="Times New Roman"/>
        <family val="1"/>
        <charset val="161"/>
      </rPr>
      <t>Β</t>
    </r>
  </si>
  <si>
    <t xml:space="preserve">το επάνω / 3600   (μετατροπή σε μοίρες) </t>
  </si>
  <si>
    <t>Συνημίτονο λόξωσης</t>
  </si>
  <si>
    <t>Το επάνω + L</t>
  </si>
  <si>
    <t>Το επάνω - 360</t>
  </si>
  <si>
    <r>
      <t>Ημίτονο</t>
    </r>
    <r>
      <rPr>
        <b/>
        <sz val="11"/>
        <color rgb="FF0070C0"/>
        <rFont val="Times New Roman"/>
        <family val="1"/>
        <charset val="161"/>
      </rPr>
      <t xml:space="preserve"> L</t>
    </r>
  </si>
  <si>
    <t>Αν το γαλάζιο &lt; 0 ; Το γκρι ; Το γαλάζιο</t>
  </si>
  <si>
    <r>
      <t xml:space="preserve">συνημίτονο </t>
    </r>
    <r>
      <rPr>
        <b/>
        <sz val="11"/>
        <color rgb="FF0070C0"/>
        <rFont val="Times New Roman"/>
        <family val="1"/>
        <charset val="161"/>
      </rPr>
      <t>L</t>
    </r>
  </si>
  <si>
    <t>L</t>
  </si>
  <si>
    <r>
      <t>Ημίτονο Απόκλισης</t>
    </r>
    <r>
      <rPr>
        <b/>
        <i/>
        <sz val="11"/>
        <color rgb="FFC00000"/>
        <rFont val="Times New Roman"/>
        <family val="1"/>
        <charset val="161"/>
      </rPr>
      <t xml:space="preserve"> </t>
    </r>
    <r>
      <rPr>
        <b/>
        <sz val="11"/>
        <color rgb="FFC00000"/>
        <rFont val="Times New Roman"/>
        <family val="1"/>
        <charset val="161"/>
      </rPr>
      <t>Β</t>
    </r>
  </si>
  <si>
    <r>
      <t xml:space="preserve">Απόκλιση </t>
    </r>
    <r>
      <rPr>
        <b/>
        <i/>
        <sz val="11"/>
        <color rgb="FFC00000"/>
        <rFont val="Times New Roman"/>
        <family val="1"/>
        <charset val="161"/>
      </rPr>
      <t>Β</t>
    </r>
    <r>
      <rPr>
        <b/>
        <sz val="11"/>
        <color rgb="FFC00000"/>
        <rFont val="Times New Roman"/>
        <family val="1"/>
        <charset val="161"/>
      </rPr>
      <t xml:space="preserve">.                                                                                                                      </t>
    </r>
  </si>
  <si>
    <r>
      <t>Συνημίτονο Απόκλισης</t>
    </r>
    <r>
      <rPr>
        <b/>
        <sz val="11"/>
        <color rgb="FFC00000"/>
        <rFont val="Times New Roman"/>
        <family val="1"/>
        <charset val="161"/>
      </rPr>
      <t xml:space="preserve"> Β</t>
    </r>
  </si>
  <si>
    <t>ορθή αναφορά * 15</t>
  </si>
  <si>
    <r>
      <t xml:space="preserve">Ημίτονο Ορθής αναφοράς </t>
    </r>
    <r>
      <rPr>
        <b/>
        <i/>
        <sz val="11"/>
        <color rgb="FF0070C0"/>
        <rFont val="Times New Roman"/>
        <family val="1"/>
        <charset val="161"/>
      </rPr>
      <t>α</t>
    </r>
  </si>
  <si>
    <t>ΛΕ = ημίτονο L * συν απόκλισης Β</t>
  </si>
  <si>
    <r>
      <t xml:space="preserve">συνημίτονο Ορθής αναφοράς </t>
    </r>
    <r>
      <rPr>
        <b/>
        <i/>
        <sz val="11"/>
        <color rgb="FF0070C0"/>
        <rFont val="Times New Roman"/>
        <family val="1"/>
        <charset val="161"/>
      </rPr>
      <t>α</t>
    </r>
  </si>
  <si>
    <t>ΘΕ = ΛΕ / συν λόξωσης</t>
  </si>
  <si>
    <r>
      <t>Ημίτονο Απόκλισης</t>
    </r>
    <r>
      <rPr>
        <b/>
        <i/>
        <sz val="11"/>
        <color rgb="FFC00000"/>
        <rFont val="Times New Roman"/>
        <family val="1"/>
        <charset val="161"/>
      </rPr>
      <t xml:space="preserve"> δ</t>
    </r>
  </si>
  <si>
    <t>ΘΛ = ΛΕ * ημ λόξωσης / συν λόξωσης</t>
  </si>
  <si>
    <r>
      <t xml:space="preserve">Συνημίτονο Απόκλισης </t>
    </r>
    <r>
      <rPr>
        <b/>
        <i/>
        <sz val="11"/>
        <color rgb="FFC00000"/>
        <rFont val="Times New Roman"/>
        <family val="1"/>
        <charset val="161"/>
      </rPr>
      <t>δ</t>
    </r>
  </si>
  <si>
    <t>ΘΩ = ΘΛ + ημ απόκλισης Β</t>
  </si>
  <si>
    <t>ΚΩ = ΘΩ * συν λόξωσης</t>
  </si>
  <si>
    <r>
      <t xml:space="preserve">ΚΕ = ημίτονο ορθής αναφοράς </t>
    </r>
    <r>
      <rPr>
        <i/>
        <sz val="11"/>
        <color theme="1"/>
        <rFont val="Times New Roman"/>
        <family val="1"/>
        <charset val="161"/>
      </rPr>
      <t>α</t>
    </r>
    <r>
      <rPr>
        <sz val="11"/>
        <color theme="1"/>
        <rFont val="Times New Roman"/>
        <family val="1"/>
        <charset val="161"/>
      </rPr>
      <t xml:space="preserve"> * συνημίτονο απόκλισης </t>
    </r>
    <r>
      <rPr>
        <i/>
        <sz val="11"/>
        <color theme="1"/>
        <rFont val="Times New Roman"/>
        <family val="1"/>
        <charset val="161"/>
      </rPr>
      <t>δ</t>
    </r>
    <r>
      <rPr>
        <sz val="11"/>
        <color theme="1"/>
        <rFont val="Times New Roman"/>
        <family val="1"/>
        <charset val="161"/>
      </rPr>
      <t>.</t>
    </r>
  </si>
  <si>
    <r>
      <t xml:space="preserve">ΚΩ = ημίτονο Απόκλισης </t>
    </r>
    <r>
      <rPr>
        <i/>
        <sz val="11"/>
        <color rgb="FF24241A"/>
        <rFont val="Times New Roman"/>
        <family val="1"/>
        <charset val="161"/>
      </rPr>
      <t>δ</t>
    </r>
    <r>
      <rPr>
        <sz val="11"/>
        <color rgb="FF24241A"/>
        <rFont val="Times New Roman"/>
        <family val="1"/>
        <charset val="161"/>
      </rPr>
      <t xml:space="preserve">.                                    </t>
    </r>
    <r>
      <rPr>
        <b/>
        <sz val="11"/>
        <color rgb="FF24241A"/>
        <rFont val="Times New Roman"/>
        <family val="1"/>
        <charset val="161"/>
      </rPr>
      <t xml:space="preserve">Απόκλιση </t>
    </r>
    <r>
      <rPr>
        <b/>
        <i/>
        <sz val="11"/>
        <color rgb="FF24241A"/>
        <rFont val="Times New Roman"/>
        <family val="1"/>
        <charset val="161"/>
      </rPr>
      <t>δ</t>
    </r>
  </si>
  <si>
    <r>
      <t xml:space="preserve">ΘΚ = ημίτονο απόκλισης </t>
    </r>
    <r>
      <rPr>
        <i/>
        <sz val="11"/>
        <color theme="1"/>
        <rFont val="Times New Roman"/>
        <family val="1"/>
        <charset val="161"/>
      </rPr>
      <t>δ</t>
    </r>
    <r>
      <rPr>
        <sz val="11"/>
        <color theme="1"/>
        <rFont val="Times New Roman"/>
        <family val="1"/>
        <charset val="161"/>
      </rPr>
      <t xml:space="preserve"> * ημ λόξωσης / συν λόξωσης.</t>
    </r>
  </si>
  <si>
    <r>
      <t xml:space="preserve">ΘΩ =ημίτονο απόκλισης </t>
    </r>
    <r>
      <rPr>
        <i/>
        <sz val="11"/>
        <color rgb="FF24241A"/>
        <rFont val="Times New Roman"/>
        <family val="1"/>
        <charset val="161"/>
      </rPr>
      <t>δ</t>
    </r>
    <r>
      <rPr>
        <sz val="11"/>
        <color rgb="FF24241A"/>
        <rFont val="Times New Roman"/>
        <family val="1"/>
        <charset val="161"/>
      </rPr>
      <t xml:space="preserve"> /συνημίτονο λόξωσης.</t>
    </r>
  </si>
  <si>
    <r>
      <t xml:space="preserve">Ορθή Αναφορά </t>
    </r>
    <r>
      <rPr>
        <b/>
        <i/>
        <sz val="11"/>
        <color rgb="FF000000"/>
        <rFont val="Times New Roman"/>
        <family val="1"/>
        <charset val="161"/>
      </rPr>
      <t>α</t>
    </r>
  </si>
  <si>
    <t>ΘΕ = ΚΕ + ΘΚ</t>
  </si>
  <si>
    <r>
      <rPr>
        <sz val="11"/>
        <color theme="6" tint="-0.499984740745262"/>
        <rFont val="Times New Roman"/>
        <family val="1"/>
        <charset val="161"/>
      </rPr>
      <t>Ημίτονο Απόκλισης</t>
    </r>
    <r>
      <rPr>
        <b/>
        <i/>
        <sz val="11"/>
        <color theme="6" tint="-0.499984740745262"/>
        <rFont val="Times New Roman"/>
        <family val="1"/>
        <charset val="161"/>
      </rPr>
      <t xml:space="preserve"> δ</t>
    </r>
    <r>
      <rPr>
        <b/>
        <i/>
        <sz val="11"/>
        <color theme="9" tint="-0.249977111117893"/>
        <rFont val="Times New Roman"/>
        <family val="1"/>
        <charset val="161"/>
      </rPr>
      <t xml:space="preserve"> </t>
    </r>
    <r>
      <rPr>
        <sz val="11"/>
        <rFont val="Times New Roman"/>
        <family val="1"/>
        <charset val="161"/>
      </rPr>
      <t>( είναι το ΚΩ)</t>
    </r>
  </si>
  <si>
    <t>ΘΛ = ΘΕ * ημίτονο λόξωσης</t>
  </si>
  <si>
    <r>
      <rPr>
        <sz val="11"/>
        <color theme="6" tint="-0.499984740745262"/>
        <rFont val="Times New Roman"/>
        <family val="1"/>
        <charset val="161"/>
      </rPr>
      <t xml:space="preserve">Συνημίτονο Απόκλισης </t>
    </r>
    <r>
      <rPr>
        <b/>
        <i/>
        <sz val="11"/>
        <color theme="6" tint="-0.499984740745262"/>
        <rFont val="Times New Roman"/>
        <family val="1"/>
        <charset val="161"/>
      </rPr>
      <t>δ</t>
    </r>
    <r>
      <rPr>
        <b/>
        <i/>
        <sz val="11"/>
        <color theme="9" tint="-0.249977111117893"/>
        <rFont val="Times New Roman"/>
        <family val="1"/>
        <charset val="161"/>
      </rPr>
      <t xml:space="preserve"> </t>
    </r>
    <r>
      <rPr>
        <sz val="11"/>
        <rFont val="Times New Roman"/>
        <family val="1"/>
        <charset val="161"/>
      </rPr>
      <t>(το υπολογίζω με το πυθαγόριο από το ΚΩ)</t>
    </r>
  </si>
  <si>
    <t>ΛΩ =ΘΩ –ΘΛ</t>
  </si>
  <si>
    <t>ΘΚ =ΘΩ * ημ λόξωσης</t>
  </si>
  <si>
    <r>
      <t xml:space="preserve">Το ΛΩ είναι το ημίτονο τις απόκλισης </t>
    </r>
    <r>
      <rPr>
        <i/>
        <sz val="11"/>
        <color theme="1"/>
        <rFont val="Times New Roman"/>
        <family val="1"/>
        <charset val="161"/>
      </rPr>
      <t>Β</t>
    </r>
    <r>
      <rPr>
        <sz val="11"/>
        <color theme="1"/>
        <rFont val="Times New Roman"/>
        <family val="1"/>
        <charset val="161"/>
      </rPr>
      <t xml:space="preserve">.  </t>
    </r>
  </si>
  <si>
    <t>ΚΕ = ΘΕ - ΘΚ</t>
  </si>
  <si>
    <t>Μετατροπή του ΛΩ σε μοίρες</t>
  </si>
  <si>
    <r>
      <t>αν ημίτονο απόκλισης</t>
    </r>
    <r>
      <rPr>
        <b/>
        <i/>
        <sz val="11"/>
        <color theme="9" tint="-0.249977111117893"/>
        <rFont val="Times New Roman"/>
        <family val="1"/>
        <charset val="161"/>
      </rPr>
      <t xml:space="preserve"> δ</t>
    </r>
    <r>
      <rPr>
        <sz val="11"/>
        <color theme="9" tint="-0.249977111117893"/>
        <rFont val="Times New Roman"/>
        <family val="1"/>
        <charset val="161"/>
      </rPr>
      <t xml:space="preserve"> =1 ; 0,000000000001 ; συν απόκλισης </t>
    </r>
    <r>
      <rPr>
        <b/>
        <i/>
        <sz val="11"/>
        <color theme="9" tint="-0.249977111117893"/>
        <rFont val="Times New Roman"/>
        <family val="1"/>
        <charset val="161"/>
      </rPr>
      <t>δ</t>
    </r>
  </si>
  <si>
    <r>
      <t xml:space="preserve">Αποτέλεσμα.    Απόκλιση εκλειπτικής     </t>
    </r>
    <r>
      <rPr>
        <b/>
        <i/>
        <sz val="11"/>
        <color theme="1"/>
        <rFont val="Times New Roman"/>
        <family val="1"/>
        <charset val="161"/>
      </rPr>
      <t>Β</t>
    </r>
    <r>
      <rPr>
        <b/>
        <sz val="11"/>
        <color theme="1"/>
        <rFont val="Times New Roman"/>
        <family val="1"/>
        <charset val="161"/>
      </rPr>
      <t>=</t>
    </r>
  </si>
  <si>
    <r>
      <t xml:space="preserve">αν ημίτονο απόκλισης </t>
    </r>
    <r>
      <rPr>
        <b/>
        <i/>
        <sz val="11"/>
        <color theme="9" tint="-0.249977111117893"/>
        <rFont val="Times New Roman"/>
        <family val="1"/>
        <charset val="161"/>
      </rPr>
      <t>δ</t>
    </r>
    <r>
      <rPr>
        <sz val="11"/>
        <color theme="9" tint="-0.249977111117893"/>
        <rFont val="Times New Roman"/>
        <family val="1"/>
        <charset val="161"/>
      </rPr>
      <t xml:space="preserve"> =-1 ; -0,000000000001 ; το επάνω  </t>
    </r>
  </si>
  <si>
    <r>
      <t xml:space="preserve">Ημίτονο Ορθής Αναφοράς = ΚΕ / συν απόκλισης </t>
    </r>
    <r>
      <rPr>
        <i/>
        <sz val="11"/>
        <color theme="1"/>
        <rFont val="Times New Roman"/>
        <family val="1"/>
        <charset val="161"/>
      </rPr>
      <t>δ</t>
    </r>
  </si>
  <si>
    <t>L -1</t>
  </si>
  <si>
    <t>αν το πορτοκαλί &gt; 0,999999999999 ; 1 ; Το επάνω</t>
  </si>
  <si>
    <r>
      <rPr>
        <sz val="11"/>
        <color theme="6" tint="-0.249977111117893"/>
        <rFont val="Times New Roman"/>
        <family val="1"/>
        <charset val="161"/>
      </rPr>
      <t>Ημίτονο Απόκλισης</t>
    </r>
    <r>
      <rPr>
        <i/>
        <sz val="11"/>
        <color theme="6" tint="-0.249977111117893"/>
        <rFont val="Times New Roman"/>
        <family val="1"/>
        <charset val="161"/>
      </rPr>
      <t xml:space="preserve"> </t>
    </r>
    <r>
      <rPr>
        <b/>
        <sz val="11"/>
        <color theme="6" tint="-0.249977111117893"/>
        <rFont val="Times New Roman"/>
        <family val="1"/>
        <charset val="161"/>
      </rPr>
      <t>Β</t>
    </r>
    <r>
      <rPr>
        <b/>
        <i/>
        <sz val="11"/>
        <color theme="9" tint="-0.249977111117893"/>
        <rFont val="Times New Roman"/>
        <family val="1"/>
        <charset val="161"/>
      </rPr>
      <t xml:space="preserve"> </t>
    </r>
    <r>
      <rPr>
        <sz val="11"/>
        <rFont val="Times New Roman"/>
        <family val="1"/>
        <charset val="161"/>
      </rPr>
      <t>( είναι το ΛΩ)</t>
    </r>
  </si>
  <si>
    <t>αν το επάνω &lt; -0,999999999999 ; -1 ; Το επάνω</t>
  </si>
  <si>
    <r>
      <rPr>
        <sz val="11"/>
        <color theme="6" tint="-0.249977111117893"/>
        <rFont val="Times New Roman"/>
        <family val="1"/>
        <charset val="161"/>
      </rPr>
      <t>Συνημίτονο Απόκλισης</t>
    </r>
    <r>
      <rPr>
        <b/>
        <sz val="11"/>
        <color theme="6" tint="-0.249977111117893"/>
        <rFont val="Times New Roman"/>
        <family val="1"/>
        <charset val="161"/>
      </rPr>
      <t xml:space="preserve"> Β</t>
    </r>
    <r>
      <rPr>
        <sz val="11"/>
        <color theme="9" tint="-0.249977111117893"/>
        <rFont val="Times New Roman"/>
        <family val="1"/>
        <charset val="161"/>
      </rPr>
      <t xml:space="preserve"> </t>
    </r>
    <r>
      <rPr>
        <sz val="11"/>
        <rFont val="Times New Roman"/>
        <family val="1"/>
        <charset val="161"/>
      </rPr>
      <t>(το υπολογίζω με το πυθαγόρειο από το ΛΩ)</t>
    </r>
  </si>
  <si>
    <t>Μετατροπή του επάνω ημιτόνου σε μοίρες</t>
  </si>
  <si>
    <t>ΛΕ =ΘΕ * συνημίτονο λόξωσης</t>
  </si>
  <si>
    <r>
      <t xml:space="preserve">το επάνω / 15                                            </t>
    </r>
    <r>
      <rPr>
        <b/>
        <sz val="11"/>
        <color theme="1"/>
        <rFont val="Times New Roman"/>
        <family val="1"/>
        <charset val="161"/>
      </rPr>
      <t xml:space="preserve">Γωνία Ορθής Αναφορας </t>
    </r>
    <r>
      <rPr>
        <b/>
        <i/>
        <sz val="11"/>
        <color theme="1"/>
        <rFont val="Times New Roman"/>
        <family val="1"/>
        <charset val="161"/>
      </rPr>
      <t>α</t>
    </r>
  </si>
  <si>
    <t>αν ημίτονο απόκλισης Β =1 ; 0,000000000001 ; συν απόκλισης Β</t>
  </si>
  <si>
    <t xml:space="preserve">αν ημίτονο απόκλισης Β =-1 ; -0,000000000001 ; το επάνω  </t>
  </si>
  <si>
    <r>
      <t xml:space="preserve">Πίνακας επιλογών </t>
    </r>
    <r>
      <rPr>
        <b/>
        <sz val="11"/>
        <color rgb="FF0070C0"/>
        <rFont val="Times New Roman"/>
        <family val="1"/>
        <charset val="161"/>
      </rPr>
      <t xml:space="preserve">Α                  </t>
    </r>
    <r>
      <rPr>
        <b/>
        <sz val="11"/>
        <rFont val="Times New Roman"/>
        <family val="1"/>
        <charset val="161"/>
      </rPr>
      <t>(</t>
    </r>
    <r>
      <rPr>
        <sz val="11"/>
        <color theme="1"/>
        <rFont val="Times New Roman"/>
        <family val="1"/>
        <charset val="161"/>
      </rPr>
      <t xml:space="preserve">είσοδος </t>
    </r>
    <r>
      <rPr>
        <b/>
        <sz val="11"/>
        <color rgb="FF0070C0"/>
        <rFont val="Times New Roman"/>
        <family val="1"/>
        <charset val="161"/>
      </rPr>
      <t>L</t>
    </r>
    <r>
      <rPr>
        <sz val="11"/>
        <color theme="1"/>
        <rFont val="Times New Roman"/>
        <family val="1"/>
        <charset val="161"/>
      </rPr>
      <t>)</t>
    </r>
  </si>
  <si>
    <r>
      <t xml:space="preserve">Ημ L = ΛΕ / συν απόκλισης </t>
    </r>
    <r>
      <rPr>
        <i/>
        <sz val="11"/>
        <color rgb="FF000000"/>
        <rFont val="Times New Roman"/>
        <family val="1"/>
        <charset val="161"/>
      </rPr>
      <t>Β</t>
    </r>
  </si>
  <si>
    <r>
      <t xml:space="preserve">αν είσοδος &gt;90 ; 0 ; </t>
    </r>
    <r>
      <rPr>
        <sz val="11"/>
        <color rgb="FFFF0000"/>
        <rFont val="Times New Roman"/>
        <family val="1"/>
        <charset val="161"/>
      </rPr>
      <t>1</t>
    </r>
  </si>
  <si>
    <t>Γωνία Ορθής Αναφορας α</t>
  </si>
  <si>
    <t>αν είσοδος &gt;90 ; είσοδος ; 1000</t>
  </si>
  <si>
    <t xml:space="preserve">αν το επάνω &gt;180 ; 0 ; 2  </t>
  </si>
  <si>
    <r>
      <t>L</t>
    </r>
    <r>
      <rPr>
        <b/>
        <vertAlign val="subscript"/>
        <sz val="11"/>
        <color theme="1"/>
        <rFont val="Times New Roman"/>
        <family val="1"/>
        <charset val="161"/>
      </rPr>
      <t xml:space="preserve">1 </t>
    </r>
  </si>
  <si>
    <t>αν είσοδος &gt;180 ; είσοδος ; 1000</t>
  </si>
  <si>
    <t xml:space="preserve">αν το επάνω &gt;270 ; 0 ; 3  </t>
  </si>
  <si>
    <t>αν το επάνω &gt; 270 ; 4 ; 0</t>
  </si>
  <si>
    <r>
      <t xml:space="preserve">Πίνακας επιλογών </t>
    </r>
    <r>
      <rPr>
        <b/>
        <sz val="11"/>
        <color rgb="FF0070C0"/>
        <rFont val="Times New Roman"/>
        <family val="1"/>
        <charset val="161"/>
      </rPr>
      <t xml:space="preserve">Α                  </t>
    </r>
    <r>
      <rPr>
        <b/>
        <sz val="11"/>
        <rFont val="Times New Roman"/>
        <family val="1"/>
        <charset val="161"/>
      </rPr>
      <t>(</t>
    </r>
    <r>
      <rPr>
        <sz val="11"/>
        <color theme="1"/>
        <rFont val="Times New Roman"/>
        <family val="1"/>
        <charset val="161"/>
      </rPr>
      <t>είσοδος Ορθής Αναφοράς)</t>
    </r>
  </si>
  <si>
    <t>Άθροισμα των γκρί</t>
  </si>
  <si>
    <t xml:space="preserve">αν Ορθή αναφορά &gt; 18 ; 4 ; 0 ; </t>
  </si>
  <si>
    <t>αν Ορθή Αναφορά  &gt;12 ; Ορθή αναφορά ; 1000</t>
  </si>
  <si>
    <t>αν το επάνω &gt; 18 ; 0 ; 3</t>
  </si>
  <si>
    <t>Πίνακες τεταρτημορίων</t>
  </si>
  <si>
    <t>αν Ορθή Αναφορά  &gt;6 ; Ορθή αναφορά ; 1000</t>
  </si>
  <si>
    <r>
      <rPr>
        <b/>
        <sz val="11"/>
        <color rgb="FF0070C0"/>
        <rFont val="Times New Roman"/>
        <family val="1"/>
        <charset val="161"/>
      </rPr>
      <t>L</t>
    </r>
    <r>
      <rPr>
        <b/>
        <sz val="11"/>
        <color theme="1"/>
        <rFont val="Times New Roman"/>
        <family val="1"/>
        <charset val="161"/>
      </rPr>
      <t xml:space="preserve"> από 0 έως 90 Μοίρες</t>
    </r>
  </si>
  <si>
    <t>αν το επάνω &gt; 12 ; 0 ; 2</t>
  </si>
  <si>
    <t>αν Ορθή Αναφορά  &gt;6 ; 0 ; 1</t>
  </si>
  <si>
    <t>άθροισμα των γκρί</t>
  </si>
  <si>
    <r>
      <rPr>
        <b/>
        <sz val="11"/>
        <color rgb="FF0070C0"/>
        <rFont val="Times New Roman"/>
        <family val="1"/>
        <charset val="161"/>
      </rPr>
      <t>L</t>
    </r>
    <r>
      <rPr>
        <b/>
        <sz val="11"/>
        <color theme="1"/>
        <rFont val="Times New Roman"/>
        <family val="1"/>
        <charset val="161"/>
      </rPr>
      <t xml:space="preserve"> από 90 έως 180 Μοίρες</t>
    </r>
  </si>
  <si>
    <t>12 - Γωνία Ορθής Αναφορας α</t>
  </si>
  <si>
    <t>Ορθή αναφορά από 0 έως 6 ώρες</t>
  </si>
  <si>
    <r>
      <rPr>
        <b/>
        <sz val="11"/>
        <color rgb="FF0070C0"/>
        <rFont val="Times New Roman"/>
        <family val="1"/>
        <charset val="161"/>
      </rPr>
      <t>L</t>
    </r>
    <r>
      <rPr>
        <b/>
        <sz val="11"/>
        <color theme="1"/>
        <rFont val="Times New Roman"/>
        <family val="1"/>
        <charset val="161"/>
      </rPr>
      <t xml:space="preserve"> από 180 έως 270 Μοίρες</t>
    </r>
  </si>
  <si>
    <r>
      <t>L</t>
    </r>
    <r>
      <rPr>
        <vertAlign val="subscript"/>
        <sz val="11"/>
        <color theme="1"/>
        <rFont val="Times New Roman"/>
        <family val="1"/>
        <charset val="161"/>
      </rPr>
      <t xml:space="preserve">1 </t>
    </r>
  </si>
  <si>
    <t>(Γωνία Ορθής Αναφορας α * (-1)) + 12</t>
  </si>
  <si>
    <r>
      <t>L</t>
    </r>
    <r>
      <rPr>
        <vertAlign val="subscript"/>
        <sz val="11"/>
        <color theme="1"/>
        <rFont val="Times New Roman"/>
        <family val="1"/>
        <charset val="161"/>
      </rPr>
      <t>1</t>
    </r>
    <r>
      <rPr>
        <sz val="11"/>
        <color theme="1"/>
        <rFont val="Times New Roman"/>
        <family val="1"/>
        <charset val="161"/>
      </rPr>
      <t xml:space="preserve"> + 360</t>
    </r>
  </si>
  <si>
    <t>αν το πορτοκαλί &gt; 360 ; το κίτρινο ; το πορτοκαλί</t>
  </si>
  <si>
    <r>
      <rPr>
        <b/>
        <sz val="11"/>
        <color rgb="FF0070C0"/>
        <rFont val="Times New Roman"/>
        <family val="1"/>
        <charset val="161"/>
      </rPr>
      <t>L</t>
    </r>
    <r>
      <rPr>
        <b/>
        <sz val="11"/>
        <color theme="1"/>
        <rFont val="Times New Roman"/>
        <family val="1"/>
        <charset val="161"/>
      </rPr>
      <t xml:space="preserve"> από 270 έως 360 Μοίρες</t>
    </r>
  </si>
  <si>
    <t>24 + Γωνία Ορθής Αναφορας α</t>
  </si>
  <si>
    <t>Ορθή αναφορά από 6 έως 12 ώρες</t>
  </si>
  <si>
    <r>
      <t>180 - L</t>
    </r>
    <r>
      <rPr>
        <vertAlign val="subscript"/>
        <sz val="11"/>
        <color theme="1"/>
        <rFont val="Times New Roman"/>
        <family val="1"/>
        <charset val="161"/>
      </rPr>
      <t>1</t>
    </r>
  </si>
  <si>
    <t>Αν το γκρί &gt; 0 ; το γαλάζιο ;το κρί</t>
  </si>
  <si>
    <t>αν το επάνω &lt;0 ; Το γκρί είναι το επάνω</t>
  </si>
  <si>
    <t>Ορθή αναφορά από 12 έως 18 ώρες</t>
  </si>
  <si>
    <r>
      <t xml:space="preserve">Επιλογέας τημής Ορθής Αναφοράς </t>
    </r>
    <r>
      <rPr>
        <b/>
        <i/>
        <sz val="11"/>
        <color theme="1"/>
        <rFont val="Times New Roman"/>
        <family val="1"/>
        <charset val="161"/>
      </rPr>
      <t>α</t>
    </r>
  </si>
  <si>
    <t>Ορθή αναφορά από 18 έως 24 ώρες</t>
  </si>
  <si>
    <r>
      <rPr>
        <sz val="11"/>
        <color theme="1"/>
        <rFont val="Times New Roman"/>
        <family val="1"/>
        <charset val="161"/>
      </rPr>
      <t xml:space="preserve">Είσοδος από </t>
    </r>
    <r>
      <rPr>
        <b/>
        <sz val="11"/>
        <color theme="1"/>
        <rFont val="Times New Roman"/>
        <family val="1"/>
        <charset val="161"/>
      </rPr>
      <t xml:space="preserve">Πίνακας επιλογών </t>
    </r>
    <r>
      <rPr>
        <b/>
        <sz val="11"/>
        <color rgb="FF0070C0"/>
        <rFont val="Times New Roman"/>
        <family val="1"/>
        <charset val="161"/>
      </rPr>
      <t xml:space="preserve">Α                  </t>
    </r>
  </si>
  <si>
    <t>αν το πρτοκαλί &gt; 360 το ; Κίκτρινο ; Το πορτοκαλί</t>
  </si>
  <si>
    <r>
      <t xml:space="preserve">Επιλογέας τημής </t>
    </r>
    <r>
      <rPr>
        <b/>
        <sz val="11"/>
        <color rgb="FF0070C0"/>
        <rFont val="Times New Roman"/>
        <family val="1"/>
        <charset val="161"/>
      </rPr>
      <t>L</t>
    </r>
  </si>
  <si>
    <r>
      <rPr>
        <b/>
        <sz val="11"/>
        <color theme="1"/>
        <rFont val="Times New Roman"/>
        <family val="1"/>
        <charset val="161"/>
      </rPr>
      <t xml:space="preserve">                                                             Έξοδος Ορθής Αναφοράς</t>
    </r>
    <r>
      <rPr>
        <sz val="11"/>
        <color theme="1"/>
        <rFont val="Times New Roman"/>
        <family val="1"/>
        <charset val="161"/>
      </rPr>
      <t xml:space="preserve"> </t>
    </r>
    <r>
      <rPr>
        <b/>
        <i/>
        <sz val="11"/>
        <color theme="1"/>
        <rFont val="Times New Roman"/>
        <family val="1"/>
        <charset val="161"/>
      </rPr>
      <t>α</t>
    </r>
  </si>
  <si>
    <t>έξοδος</t>
  </si>
  <si>
    <r>
      <t>ΑΠO</t>
    </r>
    <r>
      <rPr>
        <b/>
        <sz val="11"/>
        <rFont val="Times New Roman"/>
        <family val="1"/>
        <charset val="161"/>
      </rPr>
      <t xml:space="preserve"> </t>
    </r>
  </si>
  <si>
    <r>
      <rPr>
        <b/>
        <sz val="11"/>
        <color rgb="FF00B050"/>
        <rFont val="Times New Roman"/>
        <family val="1"/>
        <charset val="161"/>
      </rPr>
      <t>ΠΡΟΣ</t>
    </r>
    <r>
      <rPr>
        <b/>
        <sz val="11"/>
        <rFont val="Times New Roman"/>
        <family val="1"/>
        <charset val="161"/>
      </rPr>
      <t xml:space="preserve"> </t>
    </r>
    <r>
      <rPr>
        <sz val="11"/>
        <rFont val="Times New Roman"/>
        <family val="1"/>
        <charset val="161"/>
      </rPr>
      <t xml:space="preserve"> </t>
    </r>
  </si>
  <si>
    <t>ΕΞΟΔΟΣ στην Οθώνη</t>
  </si>
  <si>
    <t>Σύνολο λαθών προγράμματος</t>
  </si>
  <si>
    <t>Άθροισμα ΟΑ και απόκλισης</t>
  </si>
  <si>
    <t>Άθροισμα ΟΑ και απόκλισης του 2000</t>
  </si>
  <si>
    <t>AΠO</t>
  </si>
  <si>
    <t>24 + γωνία ορθής αναφοράς</t>
  </si>
  <si>
    <t>αν το γκρί &lt;0 το ; Γαλάζιο ; Γκρί</t>
  </si>
  <si>
    <t>α lyr</t>
  </si>
  <si>
    <t>m 57</t>
  </si>
  <si>
    <t>Βόρειος στέφανος</t>
  </si>
</sst>
</file>

<file path=xl/styles.xml><?xml version="1.0" encoding="utf-8"?>
<styleSheet xmlns="http://schemas.openxmlformats.org/spreadsheetml/2006/main">
  <numFmts count="5">
    <numFmt numFmtId="43" formatCode="_-* #,##0.00\ _€_-;\-* #,##0.00\ _€_-;_-* &quot;-&quot;??\ _€_-;_-@_-"/>
    <numFmt numFmtId="164" formatCode="_-* #,##0\ _€_-;\-* #,##0\ _€_-;_-* &quot;-&quot;??\ _€_-;_-@_-"/>
    <numFmt numFmtId="165" formatCode="0.0"/>
    <numFmt numFmtId="166" formatCode="0.000"/>
    <numFmt numFmtId="167" formatCode="#,##0.0000"/>
  </numFmts>
  <fonts count="75">
    <font>
      <sz val="11"/>
      <color theme="1"/>
      <name val="Calibri"/>
      <family val="2"/>
      <charset val="161"/>
      <scheme val="minor"/>
    </font>
    <font>
      <sz val="11"/>
      <color theme="1"/>
      <name val="Times New Roman"/>
      <family val="1"/>
      <charset val="161"/>
    </font>
    <font>
      <sz val="11"/>
      <color theme="1"/>
      <name val="Calibri"/>
      <family val="2"/>
      <charset val="161"/>
      <scheme val="minor"/>
    </font>
    <font>
      <sz val="11"/>
      <color theme="9" tint="-0.249977111117893"/>
      <name val="Times New Roman"/>
      <family val="1"/>
      <charset val="161"/>
    </font>
    <font>
      <b/>
      <sz val="11"/>
      <color theme="1"/>
      <name val="Times New Roman"/>
      <family val="1"/>
      <charset val="161"/>
    </font>
    <font>
      <sz val="10"/>
      <color rgb="FF010101"/>
      <name val="Times New Roman"/>
      <family val="1"/>
      <charset val="161"/>
    </font>
    <font>
      <sz val="11"/>
      <color rgb="FFC00000"/>
      <name val="Times New Roman"/>
      <family val="1"/>
      <charset val="161"/>
    </font>
    <font>
      <sz val="11"/>
      <color rgb="FFC00000"/>
      <name val="Calibri"/>
      <family val="2"/>
      <charset val="161"/>
      <scheme val="minor"/>
    </font>
    <font>
      <sz val="11"/>
      <name val="Times New Roman"/>
      <family val="1"/>
      <charset val="161"/>
    </font>
    <font>
      <sz val="8"/>
      <color theme="1"/>
      <name val="Times New Roman"/>
      <family val="1"/>
      <charset val="161"/>
    </font>
    <font>
      <sz val="11"/>
      <color rgb="FF222222"/>
      <name val="Times New Roman"/>
      <family val="1"/>
      <charset val="161"/>
    </font>
    <font>
      <sz val="11"/>
      <color rgb="FF002060"/>
      <name val="Times New Roman"/>
      <family val="1"/>
      <charset val="161"/>
    </font>
    <font>
      <sz val="11"/>
      <color rgb="FFFF0000"/>
      <name val="Times New Roman"/>
      <family val="1"/>
      <charset val="161"/>
    </font>
    <font>
      <b/>
      <sz val="11"/>
      <color rgb="FFC00000"/>
      <name val="Times New Roman"/>
      <family val="1"/>
      <charset val="161"/>
    </font>
    <font>
      <b/>
      <sz val="11"/>
      <color rgb="FF00B050"/>
      <name val="Times New Roman"/>
      <family val="1"/>
      <charset val="161"/>
    </font>
    <font>
      <sz val="11"/>
      <color rgb="FF0070C0"/>
      <name val="Times New Roman"/>
      <family val="1"/>
      <charset val="161"/>
    </font>
    <font>
      <sz val="11"/>
      <color rgb="FF00B050"/>
      <name val="Times New Roman"/>
      <family val="1"/>
      <charset val="161"/>
    </font>
    <font>
      <b/>
      <sz val="11"/>
      <color theme="9" tint="-0.249977111117893"/>
      <name val="Times New Roman"/>
      <family val="1"/>
      <charset val="161"/>
    </font>
    <font>
      <b/>
      <sz val="11"/>
      <color theme="0"/>
      <name val="Times New Roman"/>
      <family val="1"/>
      <charset val="161"/>
    </font>
    <font>
      <sz val="11"/>
      <color rgb="FFFFFF00"/>
      <name val="Times New Roman"/>
      <family val="1"/>
      <charset val="161"/>
    </font>
    <font>
      <b/>
      <sz val="11"/>
      <name val="Times New Roman"/>
      <family val="1"/>
      <charset val="161"/>
    </font>
    <font>
      <sz val="11"/>
      <color rgb="FFFFC000"/>
      <name val="Times New Roman"/>
      <family val="1"/>
      <charset val="161"/>
    </font>
    <font>
      <b/>
      <sz val="11"/>
      <color rgb="FF0070C0"/>
      <name val="Times New Roman"/>
      <family val="1"/>
      <charset val="161"/>
    </font>
    <font>
      <b/>
      <sz val="14"/>
      <color rgb="FFC00000"/>
      <name val="Times New Roman"/>
      <family val="1"/>
      <charset val="161"/>
    </font>
    <font>
      <b/>
      <sz val="14"/>
      <color rgb="FF00B050"/>
      <name val="Times New Roman"/>
      <family val="1"/>
      <charset val="161"/>
    </font>
    <font>
      <b/>
      <sz val="14"/>
      <color rgb="FFFFC000"/>
      <name val="Times New Roman"/>
      <family val="1"/>
      <charset val="161"/>
    </font>
    <font>
      <sz val="11"/>
      <color rgb="FF24241A"/>
      <name val="Times New Roman"/>
      <family val="1"/>
      <charset val="161"/>
    </font>
    <font>
      <b/>
      <sz val="11"/>
      <color rgb="FF24241A"/>
      <name val="Times New Roman"/>
      <family val="1"/>
      <charset val="161"/>
    </font>
    <font>
      <b/>
      <sz val="11"/>
      <color rgb="FF7030A0"/>
      <name val="Times New Roman"/>
      <family val="1"/>
      <charset val="161"/>
    </font>
    <font>
      <b/>
      <sz val="14"/>
      <color rgb="FF0070C0"/>
      <name val="Times New Roman"/>
      <family val="1"/>
      <charset val="161"/>
    </font>
    <font>
      <sz val="11"/>
      <color rgb="FF7030A0"/>
      <name val="Times New Roman"/>
      <family val="1"/>
      <charset val="161"/>
    </font>
    <font>
      <sz val="11"/>
      <color theme="0"/>
      <name val="Times New Roman"/>
      <family val="1"/>
      <charset val="161"/>
    </font>
    <font>
      <b/>
      <sz val="11"/>
      <color indexed="10"/>
      <name val="Tahoma"/>
      <family val="2"/>
      <charset val="161"/>
    </font>
    <font>
      <b/>
      <sz val="11"/>
      <color indexed="10"/>
      <name val="Times New Roman"/>
      <family val="1"/>
      <charset val="161"/>
    </font>
    <font>
      <sz val="11"/>
      <color indexed="10"/>
      <name val="Times New Roman"/>
      <family val="1"/>
      <charset val="161"/>
    </font>
    <font>
      <b/>
      <sz val="9"/>
      <color indexed="10"/>
      <name val="Tahoma"/>
      <family val="2"/>
      <charset val="161"/>
    </font>
    <font>
      <sz val="9"/>
      <color indexed="34"/>
      <name val="Tahoma"/>
      <family val="2"/>
      <charset val="161"/>
    </font>
    <font>
      <b/>
      <sz val="9"/>
      <color indexed="81"/>
      <name val="Tahoma"/>
      <family val="2"/>
      <charset val="161"/>
    </font>
    <font>
      <sz val="9"/>
      <color indexed="10"/>
      <name val="Tahoma"/>
      <family val="2"/>
      <charset val="161"/>
    </font>
    <font>
      <sz val="11"/>
      <color indexed="81"/>
      <name val="Times New Roman"/>
      <family val="1"/>
      <charset val="161"/>
    </font>
    <font>
      <b/>
      <sz val="11"/>
      <color indexed="81"/>
      <name val="Times New Roman"/>
      <family val="1"/>
      <charset val="161"/>
    </font>
    <font>
      <b/>
      <sz val="12"/>
      <color indexed="81"/>
      <name val="Times New Roman"/>
      <family val="1"/>
      <charset val="161"/>
    </font>
    <font>
      <sz val="12"/>
      <color indexed="81"/>
      <name val="Times New Roman"/>
      <family val="1"/>
      <charset val="161"/>
    </font>
    <font>
      <sz val="9"/>
      <color indexed="81"/>
      <name val="Tahoma"/>
      <family val="2"/>
      <charset val="161"/>
    </font>
    <font>
      <b/>
      <sz val="11"/>
      <color rgb="FFFFFF00"/>
      <name val="Times New Roman"/>
      <family val="1"/>
      <charset val="161"/>
    </font>
    <font>
      <b/>
      <sz val="11"/>
      <color rgb="FFFF0000"/>
      <name val="Times New Roman"/>
      <family val="1"/>
      <charset val="161"/>
    </font>
    <font>
      <sz val="14"/>
      <color rgb="FFFF0000"/>
      <name val="Times New Roman"/>
      <family val="1"/>
      <charset val="161"/>
    </font>
    <font>
      <sz val="12"/>
      <color rgb="FFFF0000"/>
      <name val="Times New Roman"/>
      <family val="1"/>
      <charset val="161"/>
    </font>
    <font>
      <b/>
      <sz val="11"/>
      <color rgb="FF00B0F0"/>
      <name val="Times New Roman"/>
      <family val="1"/>
      <charset val="161"/>
    </font>
    <font>
      <sz val="11"/>
      <color rgb="FF00B0F0"/>
      <name val="Times New Roman"/>
      <family val="1"/>
      <charset val="161"/>
    </font>
    <font>
      <b/>
      <sz val="14"/>
      <color theme="9" tint="-0.249977111117893"/>
      <name val="Times New Roman"/>
      <family val="1"/>
      <charset val="161"/>
    </font>
    <font>
      <b/>
      <sz val="11"/>
      <color rgb="FFFFC000"/>
      <name val="Times New Roman"/>
      <family val="1"/>
      <charset val="161"/>
    </font>
    <font>
      <sz val="11"/>
      <color rgb="FF1DFFFF"/>
      <name val="Times New Roman"/>
      <family val="1"/>
      <charset val="161"/>
    </font>
    <font>
      <sz val="11"/>
      <color theme="6" tint="-0.249977111117893"/>
      <name val="Times New Roman"/>
      <family val="1"/>
      <charset val="161"/>
    </font>
    <font>
      <sz val="11"/>
      <color rgb="FF92D050"/>
      <name val="Times New Roman"/>
      <family val="1"/>
      <charset val="161"/>
    </font>
    <font>
      <sz val="11"/>
      <color theme="9" tint="-0.249977111117893"/>
      <name val="Calibri"/>
      <family val="2"/>
      <charset val="161"/>
      <scheme val="minor"/>
    </font>
    <font>
      <b/>
      <i/>
      <sz val="11"/>
      <color theme="1"/>
      <name val="Times New Roman"/>
      <family val="1"/>
      <charset val="161"/>
    </font>
    <font>
      <b/>
      <i/>
      <sz val="11"/>
      <color rgb="FFC00000"/>
      <name val="Times New Roman"/>
      <family val="1"/>
      <charset val="161"/>
    </font>
    <font>
      <sz val="11"/>
      <color rgb="FF000000"/>
      <name val="Times New Roman"/>
      <family val="1"/>
      <charset val="161"/>
    </font>
    <font>
      <i/>
      <sz val="11"/>
      <name val="Times New Roman"/>
      <family val="1"/>
      <charset val="161"/>
    </font>
    <font>
      <b/>
      <i/>
      <sz val="11"/>
      <color theme="0"/>
      <name val="Times New Roman"/>
      <family val="1"/>
      <charset val="161"/>
    </font>
    <font>
      <b/>
      <i/>
      <sz val="11"/>
      <color rgb="FF0070C0"/>
      <name val="Times New Roman"/>
      <family val="1"/>
      <charset val="161"/>
    </font>
    <font>
      <i/>
      <sz val="11"/>
      <color theme="1"/>
      <name val="Times New Roman"/>
      <family val="1"/>
      <charset val="161"/>
    </font>
    <font>
      <i/>
      <sz val="11"/>
      <color rgb="FF24241A"/>
      <name val="Times New Roman"/>
      <family val="1"/>
      <charset val="161"/>
    </font>
    <font>
      <b/>
      <i/>
      <sz val="11"/>
      <color rgb="FF24241A"/>
      <name val="Times New Roman"/>
      <family val="1"/>
      <charset val="161"/>
    </font>
    <font>
      <b/>
      <sz val="11"/>
      <color rgb="FF000000"/>
      <name val="Times New Roman"/>
      <family val="1"/>
      <charset val="161"/>
    </font>
    <font>
      <b/>
      <i/>
      <sz val="11"/>
      <color rgb="FF000000"/>
      <name val="Times New Roman"/>
      <family val="1"/>
      <charset val="161"/>
    </font>
    <font>
      <sz val="11"/>
      <color theme="6" tint="-0.499984740745262"/>
      <name val="Times New Roman"/>
      <family val="1"/>
      <charset val="161"/>
    </font>
    <font>
      <b/>
      <i/>
      <sz val="11"/>
      <color theme="6" tint="-0.499984740745262"/>
      <name val="Times New Roman"/>
      <family val="1"/>
      <charset val="161"/>
    </font>
    <font>
      <b/>
      <i/>
      <sz val="11"/>
      <color theme="9" tint="-0.249977111117893"/>
      <name val="Times New Roman"/>
      <family val="1"/>
      <charset val="161"/>
    </font>
    <font>
      <i/>
      <sz val="11"/>
      <color theme="6" tint="-0.249977111117893"/>
      <name val="Times New Roman"/>
      <family val="1"/>
      <charset val="161"/>
    </font>
    <font>
      <b/>
      <sz val="11"/>
      <color theme="6" tint="-0.249977111117893"/>
      <name val="Times New Roman"/>
      <family val="1"/>
      <charset val="161"/>
    </font>
    <font>
      <i/>
      <sz val="11"/>
      <color rgb="FF000000"/>
      <name val="Times New Roman"/>
      <family val="1"/>
      <charset val="161"/>
    </font>
    <font>
      <b/>
      <vertAlign val="subscript"/>
      <sz val="11"/>
      <color theme="1"/>
      <name val="Times New Roman"/>
      <family val="1"/>
      <charset val="161"/>
    </font>
    <font>
      <vertAlign val="subscript"/>
      <sz val="11"/>
      <color theme="1"/>
      <name val="Times New Roman"/>
      <family val="1"/>
      <charset val="161"/>
    </font>
  </fonts>
  <fills count="37">
    <fill>
      <patternFill patternType="none"/>
    </fill>
    <fill>
      <patternFill patternType="gray125"/>
    </fill>
    <fill>
      <patternFill patternType="solid">
        <fgColor rgb="FF00B050"/>
        <bgColor indexed="64"/>
      </patternFill>
    </fill>
    <fill>
      <patternFill patternType="solid">
        <fgColor theme="2" tint="-0.24994659260841701"/>
        <bgColor indexed="64"/>
      </patternFill>
    </fill>
    <fill>
      <patternFill patternType="solid">
        <fgColor theme="1"/>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theme="5" tint="0.39994506668294322"/>
        <bgColor indexed="64"/>
      </patternFill>
    </fill>
    <fill>
      <patternFill patternType="solid">
        <fgColor rgb="FFFFC000"/>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9" tint="-0.24994659260841701"/>
        <bgColor indexed="64"/>
      </patternFill>
    </fill>
    <fill>
      <patternFill patternType="solid">
        <fgColor rgb="FFFF0000"/>
        <bgColor indexed="64"/>
      </patternFill>
    </fill>
    <fill>
      <patternFill patternType="solid">
        <fgColor rgb="FF7030A0"/>
        <bgColor indexed="64"/>
      </patternFill>
    </fill>
    <fill>
      <patternFill patternType="solid">
        <fgColor theme="3" tint="0.59996337778862885"/>
        <bgColor indexed="64"/>
      </patternFill>
    </fill>
    <fill>
      <patternFill patternType="solid">
        <fgColor rgb="FF0070C0"/>
        <bgColor indexed="64"/>
      </patternFill>
    </fill>
    <fill>
      <patternFill patternType="solid">
        <fgColor theme="8" tint="-0.24994659260841701"/>
        <bgColor indexed="64"/>
      </patternFill>
    </fill>
    <fill>
      <patternFill patternType="solid">
        <fgColor rgb="FF00B0F0"/>
        <bgColor indexed="64"/>
      </patternFill>
    </fill>
    <fill>
      <patternFill patternType="solid">
        <fgColor theme="0" tint="-0.24994659260841701"/>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rgb="FF0F2501"/>
        <bgColor indexed="64"/>
      </patternFill>
    </fill>
    <fill>
      <patternFill patternType="solid">
        <fgColor rgb="FF1D1B11"/>
        <bgColor indexed="64"/>
      </patternFill>
    </fill>
    <fill>
      <patternFill patternType="solid">
        <fgColor theme="2" tint="-0.89996032593768116"/>
        <bgColor indexed="64"/>
      </patternFill>
    </fill>
    <fill>
      <patternFill patternType="solid">
        <fgColor theme="3" tint="-0.499984740745262"/>
        <bgColor indexed="64"/>
      </patternFill>
    </fill>
    <fill>
      <patternFill patternType="solid">
        <fgColor theme="4" tint="0.59996337778862885"/>
        <bgColor indexed="64"/>
      </patternFill>
    </fill>
    <fill>
      <patternFill patternType="solid">
        <fgColor theme="3" tint="0.79998168889431442"/>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5" tint="0.79998168889431442"/>
        <bgColor indexed="64"/>
      </patternFill>
    </fill>
    <fill>
      <patternFill patternType="solid">
        <fgColor theme="8" tint="0.59996337778862885"/>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2" tint="-9.9948118533890809E-2"/>
        <bgColor indexed="64"/>
      </patternFill>
    </fill>
  </fills>
  <borders count="164">
    <border>
      <left/>
      <right/>
      <top/>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rgb="FFFF0000"/>
      </left>
      <right style="thin">
        <color rgb="FFFF0000"/>
      </right>
      <top style="thin">
        <color rgb="FFFF0000"/>
      </top>
      <bottom style="thin">
        <color rgb="FFFF0000"/>
      </bottom>
      <diagonal/>
    </border>
    <border>
      <left/>
      <right style="thin">
        <color auto="1"/>
      </right>
      <top/>
      <bottom/>
      <diagonal/>
    </border>
    <border>
      <left/>
      <right style="thin">
        <color auto="1"/>
      </right>
      <top/>
      <bottom style="thin">
        <color auto="1"/>
      </bottom>
      <diagonal/>
    </border>
    <border>
      <left/>
      <right/>
      <top/>
      <bottom style="thin">
        <color rgb="FFFF0000"/>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right style="thin">
        <color theme="9" tint="-0.24994659260841701"/>
      </right>
      <top/>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style="thin">
        <color theme="0"/>
      </left>
      <right style="thin">
        <color auto="1"/>
      </right>
      <top style="thin">
        <color theme="0"/>
      </top>
      <bottom style="thin">
        <color auto="1"/>
      </bottom>
      <diagonal/>
    </border>
    <border>
      <left style="thin">
        <color auto="1"/>
      </left>
      <right style="thin">
        <color auto="1"/>
      </right>
      <top style="thin">
        <color theme="0"/>
      </top>
      <bottom style="thin">
        <color auto="1"/>
      </bottom>
      <diagonal/>
    </border>
    <border>
      <left style="thin">
        <color auto="1"/>
      </left>
      <right/>
      <top style="thin">
        <color theme="0"/>
      </top>
      <bottom style="thin">
        <color auto="1"/>
      </bottom>
      <diagonal/>
    </border>
    <border>
      <left style="thin">
        <color theme="9" tint="-0.24994659260841701"/>
      </left>
      <right style="thin">
        <color auto="1"/>
      </right>
      <top style="thin">
        <color theme="9" tint="-0.24994659260841701"/>
      </top>
      <bottom style="thin">
        <color auto="1"/>
      </bottom>
      <diagonal/>
    </border>
    <border>
      <left style="thin">
        <color auto="1"/>
      </left>
      <right style="thin">
        <color auto="1"/>
      </right>
      <top style="thin">
        <color theme="9" tint="-0.24994659260841701"/>
      </top>
      <bottom style="thin">
        <color auto="1"/>
      </bottom>
      <diagonal/>
    </border>
    <border>
      <left style="thin">
        <color auto="1"/>
      </left>
      <right style="thin">
        <color theme="9" tint="-0.24994659260841701"/>
      </right>
      <top style="thin">
        <color theme="9" tint="-0.24994659260841701"/>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theme="0"/>
      </top>
      <bottom style="thin">
        <color auto="1"/>
      </bottom>
      <diagonal/>
    </border>
    <border>
      <left style="thin">
        <color theme="0"/>
      </left>
      <right style="thin">
        <color auto="1"/>
      </right>
      <top style="thin">
        <color auto="1"/>
      </top>
      <bottom style="thin">
        <color theme="9" tint="-0.24994659260841701"/>
      </bottom>
      <diagonal/>
    </border>
    <border>
      <left style="thin">
        <color auto="1"/>
      </left>
      <right style="thin">
        <color auto="1"/>
      </right>
      <top style="thin">
        <color auto="1"/>
      </top>
      <bottom style="thin">
        <color theme="9" tint="-0.24994659260841701"/>
      </bottom>
      <diagonal/>
    </border>
    <border>
      <left style="thin">
        <color auto="1"/>
      </left>
      <right/>
      <top style="thin">
        <color auto="1"/>
      </top>
      <bottom style="thin">
        <color theme="9" tint="-0.24994659260841701"/>
      </bottom>
      <diagonal/>
    </border>
    <border>
      <left style="thin">
        <color theme="9" tint="-0.24994659260841701"/>
      </left>
      <right style="thin">
        <color auto="1"/>
      </right>
      <top style="thin">
        <color auto="1"/>
      </top>
      <bottom style="thin">
        <color theme="0"/>
      </bottom>
      <diagonal/>
    </border>
    <border>
      <left style="thin">
        <color auto="1"/>
      </left>
      <right style="thin">
        <color auto="1"/>
      </right>
      <top style="thin">
        <color auto="1"/>
      </top>
      <bottom style="thin">
        <color theme="0"/>
      </bottom>
      <diagonal/>
    </border>
    <border>
      <left/>
      <right style="thin">
        <color auto="1"/>
      </right>
      <top style="thin">
        <color auto="1"/>
      </top>
      <bottom style="thin">
        <color theme="9" tint="-0.24994659260841701"/>
      </bottom>
      <diagonal/>
    </border>
    <border>
      <left style="thin">
        <color auto="1"/>
      </left>
      <right style="thin">
        <color theme="0"/>
      </right>
      <top style="thin">
        <color auto="1"/>
      </top>
      <bottom style="thin">
        <color theme="9" tint="-0.24994659260841701"/>
      </bottom>
      <diagonal/>
    </border>
    <border>
      <left style="thin">
        <color auto="1"/>
      </left>
      <right style="thin">
        <color auto="1"/>
      </right>
      <top style="thin">
        <color theme="9" tint="-0.24994659260841701"/>
      </top>
      <bottom/>
      <diagonal/>
    </border>
    <border>
      <left style="thin">
        <color theme="9" tint="-0.24994659260841701"/>
      </left>
      <right style="thin">
        <color auto="1"/>
      </right>
      <top style="thin">
        <color auto="1"/>
      </top>
      <bottom style="thin">
        <color auto="1"/>
      </bottom>
      <diagonal/>
    </border>
    <border>
      <left style="thin">
        <color theme="9" tint="-0.24994659260841701"/>
      </left>
      <right style="thin">
        <color auto="1"/>
      </right>
      <top style="thin">
        <color theme="9" tint="-0.24994659260841701"/>
      </top>
      <bottom style="thin">
        <color theme="9" tint="-0.24994659260841701"/>
      </bottom>
      <diagonal/>
    </border>
    <border>
      <left style="thin">
        <color auto="1"/>
      </left>
      <right style="thin">
        <color auto="1"/>
      </right>
      <top style="thin">
        <color theme="9" tint="-0.24994659260841701"/>
      </top>
      <bottom style="thin">
        <color theme="9" tint="-0.24994659260841701"/>
      </bottom>
      <diagonal/>
    </border>
    <border>
      <left style="thin">
        <color auto="1"/>
      </left>
      <right style="thin">
        <color theme="9" tint="-0.24994659260841701"/>
      </right>
      <top style="thin">
        <color theme="9" tint="-0.24994659260841701"/>
      </top>
      <bottom style="thin">
        <color theme="9" tint="-0.24994659260841701"/>
      </bottom>
      <diagonal/>
    </border>
    <border>
      <left style="thin">
        <color auto="1"/>
      </left>
      <right style="thin">
        <color theme="9" tint="-0.24994659260841701"/>
      </right>
      <top style="thin">
        <color auto="1"/>
      </top>
      <bottom style="thin">
        <color auto="1"/>
      </bottom>
      <diagonal/>
    </border>
    <border>
      <left style="thin">
        <color auto="1"/>
      </left>
      <right/>
      <top/>
      <bottom style="thin">
        <color auto="1"/>
      </bottom>
      <diagonal/>
    </border>
    <border>
      <left style="thin">
        <color theme="9" tint="-0.24994659260841701"/>
      </left>
      <right style="thin">
        <color auto="1"/>
      </right>
      <top style="thin">
        <color auto="1"/>
      </top>
      <bottom style="thin">
        <color theme="9" tint="-0.24994659260841701"/>
      </bottom>
      <diagonal/>
    </border>
    <border>
      <left style="thin">
        <color auto="1"/>
      </left>
      <right style="thin">
        <color theme="9" tint="-0.24994659260841701"/>
      </right>
      <top style="thin">
        <color auto="1"/>
      </top>
      <bottom style="thin">
        <color theme="9" tint="-0.24994659260841701"/>
      </bottom>
      <diagonal/>
    </border>
    <border>
      <left style="thin">
        <color rgb="FFFF0000"/>
      </left>
      <right style="thin">
        <color rgb="FFFF0000"/>
      </right>
      <top style="thin">
        <color rgb="FFFF0000"/>
      </top>
      <bottom/>
      <diagonal/>
    </border>
    <border>
      <left style="thin">
        <color auto="1"/>
      </left>
      <right style="thin">
        <color theme="0"/>
      </right>
      <top style="thin">
        <color theme="9" tint="-0.24994659260841701"/>
      </top>
      <bottom style="thin">
        <color auto="1"/>
      </bottom>
      <diagonal/>
    </border>
    <border>
      <left style="thin">
        <color theme="0"/>
      </left>
      <right style="thin">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top style="thin">
        <color auto="1"/>
      </top>
      <bottom style="thin">
        <color auto="1"/>
      </bottom>
      <diagonal/>
    </border>
    <border>
      <left style="thin">
        <color theme="0"/>
      </left>
      <right style="thin">
        <color auto="1"/>
      </right>
      <top style="thin">
        <color auto="1"/>
      </top>
      <bottom style="thin">
        <color theme="0"/>
      </bottom>
      <diagonal/>
    </border>
    <border>
      <left style="thin">
        <color auto="1"/>
      </left>
      <right style="thin">
        <color auto="1"/>
      </right>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9" tint="-0.24994659260841701"/>
      </right>
      <top style="thin">
        <color auto="1"/>
      </top>
      <bottom/>
      <diagonal/>
    </border>
    <border>
      <left style="thin">
        <color theme="9" tint="-0.24994659260841701"/>
      </left>
      <right/>
      <top style="thin">
        <color auto="1"/>
      </top>
      <bottom style="thin">
        <color auto="1"/>
      </bottom>
      <diagonal/>
    </border>
    <border>
      <left style="thin">
        <color rgb="FF00B050"/>
      </left>
      <right style="thin">
        <color rgb="FF00B050"/>
      </right>
      <top style="thin">
        <color rgb="FF00B050"/>
      </top>
      <bottom style="thin">
        <color rgb="FF00B050"/>
      </bottom>
      <diagonal/>
    </border>
    <border>
      <left style="thin">
        <color auto="1"/>
      </left>
      <right style="thin">
        <color theme="9" tint="-0.24994659260841701"/>
      </right>
      <top/>
      <bottom style="thin">
        <color theme="9" tint="-0.24994659260841701"/>
      </bottom>
      <diagonal/>
    </border>
    <border diagonalUp="1">
      <left style="thin">
        <color auto="1"/>
      </left>
      <right style="thin">
        <color auto="1"/>
      </right>
      <top style="thin">
        <color auto="1"/>
      </top>
      <bottom style="thin">
        <color auto="1"/>
      </bottom>
      <diagonal style="thin">
        <color auto="1"/>
      </diagonal>
    </border>
    <border diagonalUp="1">
      <left style="thin">
        <color theme="9" tint="-0.24994659260841701"/>
      </left>
      <right style="thin">
        <color theme="9" tint="-0.24994659260841701"/>
      </right>
      <top style="thin">
        <color theme="9" tint="-0.24994659260841701"/>
      </top>
      <bottom style="thin">
        <color theme="9" tint="-0.24994659260841701"/>
      </bottom>
      <diagonal style="thin">
        <color theme="9" tint="-0.24994659260841701"/>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auto="1"/>
      </left>
      <right style="thin">
        <color rgb="FFFF0000"/>
      </right>
      <top/>
      <bottom style="thin">
        <color auto="1"/>
      </bottom>
      <diagonal/>
    </border>
    <border>
      <left style="thin">
        <color rgb="FFFF0000"/>
      </left>
      <right/>
      <top/>
      <bottom style="thin">
        <color auto="1"/>
      </bottom>
      <diagonal/>
    </border>
    <border>
      <left style="thin">
        <color auto="1"/>
      </left>
      <right style="thin">
        <color rgb="FFFF0000"/>
      </right>
      <top style="thin">
        <color auto="1"/>
      </top>
      <bottom style="thin">
        <color auto="1"/>
      </bottom>
      <diagonal/>
    </border>
    <border>
      <left/>
      <right style="thin">
        <color rgb="FFFF0000"/>
      </right>
      <top/>
      <bottom/>
      <diagonal/>
    </border>
    <border>
      <left style="thin">
        <color rgb="FFFF0000"/>
      </left>
      <right/>
      <top/>
      <bottom style="thin">
        <color rgb="FFFF0000"/>
      </bottom>
      <diagonal/>
    </border>
    <border>
      <left style="thin">
        <color auto="1"/>
      </left>
      <right style="thin">
        <color rgb="FFFF0000"/>
      </right>
      <top style="thin">
        <color auto="1"/>
      </top>
      <bottom style="thin">
        <color rgb="FFFF000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theme="1"/>
      </left>
      <right style="thin">
        <color theme="1"/>
      </right>
      <top style="thin">
        <color theme="1"/>
      </top>
      <bottom style="thin">
        <color theme="1"/>
      </bottom>
      <diagonal/>
    </border>
    <border>
      <left style="thin">
        <color auto="1"/>
      </left>
      <right/>
      <top style="thin">
        <color theme="9" tint="-0.24994659260841701"/>
      </top>
      <bottom style="thin">
        <color auto="1"/>
      </bottom>
      <diagonal/>
    </border>
    <border>
      <left style="thin">
        <color auto="1"/>
      </left>
      <right/>
      <top style="thin">
        <color auto="1"/>
      </top>
      <bottom style="thin">
        <color theme="0"/>
      </bottom>
      <diagonal/>
    </border>
    <border>
      <left/>
      <right style="thin">
        <color auto="1"/>
      </right>
      <top style="thin">
        <color theme="9" tint="-0.24994659260841701"/>
      </top>
      <bottom/>
      <diagonal/>
    </border>
    <border>
      <left/>
      <right style="thin">
        <color theme="9" tint="-0.24994659260841701"/>
      </right>
      <top style="thin">
        <color theme="9" tint="-0.24994659260841701"/>
      </top>
      <bottom style="thin">
        <color theme="0"/>
      </bottom>
      <diagonal/>
    </border>
    <border>
      <left style="thin">
        <color theme="0"/>
      </left>
      <right style="thin">
        <color theme="9" tint="-0.24994659260841701"/>
      </right>
      <top style="thin">
        <color theme="0"/>
      </top>
      <bottom style="thin">
        <color theme="0"/>
      </bottom>
      <diagonal/>
    </border>
    <border>
      <left style="thin">
        <color rgb="FFFF0000"/>
      </left>
      <right style="thin">
        <color rgb="FFFF0000"/>
      </right>
      <top style="thin">
        <color auto="1"/>
      </top>
      <bottom style="thin">
        <color rgb="FFFF0000"/>
      </bottom>
      <diagonal/>
    </border>
    <border>
      <left style="thin">
        <color auto="1"/>
      </left>
      <right style="thin">
        <color auto="1"/>
      </right>
      <top style="thin">
        <color rgb="FFFFFF00"/>
      </top>
      <bottom/>
      <diagonal/>
    </border>
    <border>
      <left style="thin">
        <color rgb="FFFFFF00"/>
      </left>
      <right style="thin">
        <color auto="1"/>
      </right>
      <top style="thin">
        <color rgb="FFFFFF00"/>
      </top>
      <bottom/>
      <diagonal/>
    </border>
    <border>
      <left style="thin">
        <color auto="1"/>
      </left>
      <right/>
      <top style="thin">
        <color rgb="FFFFFF00"/>
      </top>
      <bottom/>
      <diagonal/>
    </border>
    <border diagonalUp="1">
      <left style="thin">
        <color auto="1"/>
      </left>
      <right style="thin">
        <color auto="1"/>
      </right>
      <top style="thin">
        <color rgb="FFFFFF00"/>
      </top>
      <bottom style="thin">
        <color auto="1"/>
      </bottom>
      <diagonal style="thin">
        <color auto="1"/>
      </diagonal>
    </border>
    <border>
      <left/>
      <right style="thin">
        <color auto="1"/>
      </right>
      <top style="thin">
        <color rgb="FFFFFF00"/>
      </top>
      <bottom/>
      <diagonal/>
    </border>
    <border>
      <left style="thin">
        <color auto="1"/>
      </left>
      <right style="thin">
        <color rgb="FFFFFF00"/>
      </right>
      <top style="thin">
        <color rgb="FFFFFF00"/>
      </top>
      <bottom/>
      <diagonal/>
    </border>
    <border>
      <left style="thin">
        <color rgb="FFFFFF00"/>
      </left>
      <right style="thin">
        <color rgb="FFFF0000"/>
      </right>
      <top/>
      <bottom/>
      <diagonal/>
    </border>
    <border>
      <left style="thin">
        <color rgb="FFFF0000"/>
      </left>
      <right style="thin">
        <color rgb="FFFF0000"/>
      </right>
      <top/>
      <bottom/>
      <diagonal/>
    </border>
    <border>
      <left style="thin">
        <color auto="1"/>
      </left>
      <right style="thin">
        <color rgb="FFFFFF00"/>
      </right>
      <top/>
      <bottom/>
      <diagonal/>
    </border>
    <border>
      <left style="thin">
        <color rgb="FFFFFF00"/>
      </left>
      <right style="thin">
        <color auto="1"/>
      </right>
      <top style="thin">
        <color auto="1"/>
      </top>
      <bottom style="thin">
        <color auto="1"/>
      </bottom>
      <diagonal/>
    </border>
    <border diagonalUp="1">
      <left style="thin">
        <color auto="1"/>
      </left>
      <right style="thin">
        <color auto="1"/>
      </right>
      <top style="thin">
        <color auto="1"/>
      </top>
      <bottom/>
      <diagonal style="thin">
        <color auto="1"/>
      </diagonal>
    </border>
    <border>
      <left style="thin">
        <color auto="1"/>
      </left>
      <right style="thin">
        <color rgb="FFFFFF00"/>
      </right>
      <top style="thin">
        <color auto="1"/>
      </top>
      <bottom/>
      <diagonal/>
    </border>
    <border>
      <left style="thin">
        <color rgb="FFFF0000"/>
      </left>
      <right style="thin">
        <color auto="1"/>
      </right>
      <top style="thin">
        <color auto="1"/>
      </top>
      <bottom/>
      <diagonal/>
    </border>
    <border>
      <left/>
      <right style="thin">
        <color rgb="FFFFFF00"/>
      </right>
      <top/>
      <bottom style="thin">
        <color auto="1"/>
      </bottom>
      <diagonal/>
    </border>
    <border>
      <left style="thin">
        <color auto="1"/>
      </left>
      <right style="thin">
        <color rgb="FFFFFF00"/>
      </right>
      <top style="thin">
        <color auto="1"/>
      </top>
      <bottom style="thin">
        <color auto="1"/>
      </bottom>
      <diagonal/>
    </border>
    <border>
      <left/>
      <right style="thin">
        <color rgb="FFFF0000"/>
      </right>
      <top style="thin">
        <color rgb="FFFF0000"/>
      </top>
      <bottom/>
      <diagonal/>
    </border>
    <border>
      <left/>
      <right style="thin">
        <color rgb="FFFFFF00"/>
      </right>
      <top style="thin">
        <color auto="1"/>
      </top>
      <bottom style="thin">
        <color auto="1"/>
      </bottom>
      <diagonal/>
    </border>
    <border>
      <left style="thin">
        <color theme="1"/>
      </left>
      <right style="thin">
        <color rgb="FFFFFF00"/>
      </right>
      <top style="thin">
        <color theme="1"/>
      </top>
      <bottom/>
      <diagonal/>
    </border>
    <border>
      <left style="thin">
        <color auto="1"/>
      </left>
      <right style="thin">
        <color theme="2" tint="-0.24994659260841701"/>
      </right>
      <top style="thin">
        <color auto="1"/>
      </top>
      <bottom/>
      <diagonal/>
    </border>
    <border>
      <left style="thin">
        <color theme="2" tint="-0.24994659260841701"/>
      </left>
      <right style="thin">
        <color rgb="FFFFFF00"/>
      </right>
      <top style="thin">
        <color auto="1"/>
      </top>
      <bottom style="thin">
        <color theme="2" tint="-9.9948118533890809E-2"/>
      </bottom>
      <diagonal/>
    </border>
    <border>
      <left style="thin">
        <color theme="2" tint="-0.24994659260841701"/>
      </left>
      <right style="thin">
        <color theme="2" tint="-0.24994659260841701"/>
      </right>
      <top style="thin">
        <color theme="2" tint="-0.24994659260841701"/>
      </top>
      <bottom style="thin">
        <color theme="2" tint="-0.499984740745262"/>
      </bottom>
      <diagonal/>
    </border>
    <border>
      <left/>
      <right style="thin">
        <color rgb="FFFFFF00"/>
      </right>
      <top/>
      <bottom style="thin">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right style="thin">
        <color rgb="FFFFFF00"/>
      </right>
      <top style="thin">
        <color theme="2" tint="-0.499984740745262"/>
      </top>
      <bottom style="thin">
        <color theme="2" tint="-0.499984740745262"/>
      </bottom>
      <diagonal/>
    </border>
    <border>
      <left style="thin">
        <color rgb="FFFFFF00"/>
      </left>
      <right/>
      <top style="thin">
        <color auto="1"/>
      </top>
      <bottom style="thin">
        <color auto="1"/>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rgb="FFFF0000"/>
      </left>
      <right/>
      <top style="thin">
        <color auto="1"/>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2" tint="-0.499984740745262"/>
      </left>
      <right style="thin">
        <color rgb="FFFFFF00"/>
      </right>
      <top style="thin">
        <color theme="2" tint="-0.499984740745262"/>
      </top>
      <bottom style="thin">
        <color theme="2" tint="-0.499984740745262"/>
      </bottom>
      <diagonal/>
    </border>
    <border>
      <left/>
      <right style="thin">
        <color rgb="FFFF0000"/>
      </right>
      <top style="thin">
        <color rgb="FFFF0000"/>
      </top>
      <bottom style="thin">
        <color auto="1"/>
      </bottom>
      <diagonal/>
    </border>
    <border>
      <left style="thin">
        <color theme="2" tint="-0.499984740745262"/>
      </left>
      <right style="thin">
        <color theme="2" tint="-0.499984740745262"/>
      </right>
      <top style="thin">
        <color theme="2" tint="-0.499984740745262"/>
      </top>
      <bottom style="thin">
        <color rgb="FFFFFF00"/>
      </bottom>
      <diagonal/>
    </border>
    <border>
      <left style="thin">
        <color theme="2" tint="-0.499984740745262"/>
      </left>
      <right style="thin">
        <color rgb="FFFFFF00"/>
      </right>
      <top style="thin">
        <color theme="2" tint="-0.499984740745262"/>
      </top>
      <bottom style="thin">
        <color rgb="FFFFFF00"/>
      </bottom>
      <diagonal/>
    </border>
    <border>
      <left style="thin">
        <color rgb="FFFFFF00"/>
      </left>
      <right style="thin">
        <color auto="1"/>
      </right>
      <top style="thin">
        <color auto="1"/>
      </top>
      <bottom/>
      <diagonal/>
    </border>
    <border>
      <left style="thin">
        <color rgb="FFFFFF00"/>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style="thin">
        <color rgb="FFFFFF00"/>
      </left>
      <right style="thin">
        <color auto="1"/>
      </right>
      <top/>
      <bottom style="thin">
        <color auto="1"/>
      </bottom>
      <diagonal/>
    </border>
    <border>
      <left style="thin">
        <color rgb="FFFFFF00"/>
      </left>
      <right style="thin">
        <color auto="1"/>
      </right>
      <top style="thin">
        <color auto="1"/>
      </top>
      <bottom style="thin">
        <color rgb="FFFFFF00"/>
      </bottom>
      <diagonal/>
    </border>
    <border>
      <left style="thin">
        <color auto="1"/>
      </left>
      <right style="thin">
        <color auto="1"/>
      </right>
      <top style="thin">
        <color auto="1"/>
      </top>
      <bottom style="thin">
        <color rgb="FFFFFF00"/>
      </bottom>
      <diagonal/>
    </border>
    <border>
      <left style="thin">
        <color auto="1"/>
      </left>
      <right/>
      <top style="thin">
        <color auto="1"/>
      </top>
      <bottom style="thin">
        <color rgb="FFFFFF00"/>
      </bottom>
      <diagonal/>
    </border>
    <border>
      <left style="thin">
        <color rgb="FFFFFF00"/>
      </left>
      <right style="thin">
        <color auto="1"/>
      </right>
      <top style="thin">
        <color rgb="FFFFFF00"/>
      </top>
      <bottom style="thin">
        <color theme="0"/>
      </bottom>
      <diagonal/>
    </border>
    <border>
      <left style="thin">
        <color auto="1"/>
      </left>
      <right style="thin">
        <color rgb="FFFFFF00"/>
      </right>
      <top style="thin">
        <color rgb="FFFFFF00"/>
      </top>
      <bottom style="thin">
        <color theme="0"/>
      </bottom>
      <diagonal/>
    </border>
    <border>
      <left style="thin">
        <color auto="1"/>
      </left>
      <right style="thin">
        <color rgb="FFFFFF00"/>
      </right>
      <top style="thin">
        <color theme="0"/>
      </top>
      <bottom style="thin">
        <color auto="1"/>
      </bottom>
      <diagonal/>
    </border>
    <border>
      <left style="thin">
        <color rgb="FFFFFF0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2" tint="-0.24994659260841701"/>
      </right>
      <top style="thin">
        <color theme="0"/>
      </top>
      <bottom style="thin">
        <color theme="2" tint="-0.24994659260841701"/>
      </bottom>
      <diagonal/>
    </border>
    <border>
      <left style="thin">
        <color theme="2" tint="-0.24994659260841701"/>
      </left>
      <right style="thin">
        <color rgb="FFFFFF00"/>
      </right>
      <top style="thin">
        <color theme="0"/>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rgb="FFFF0000"/>
      </left>
      <right style="thin">
        <color auto="1"/>
      </right>
      <top style="thin">
        <color rgb="FFFF0000"/>
      </top>
      <bottom style="thin">
        <color rgb="FFFF0000"/>
      </bottom>
      <diagonal/>
    </border>
    <border>
      <left style="thin">
        <color auto="1"/>
      </left>
      <right style="thin">
        <color auto="1"/>
      </right>
      <top style="thin">
        <color rgb="FFFF0000"/>
      </top>
      <bottom style="thin">
        <color rgb="FFFF0000"/>
      </bottom>
      <diagonal/>
    </border>
    <border>
      <left style="thin">
        <color auto="1"/>
      </left>
      <right style="thin">
        <color rgb="FFFF0000"/>
      </right>
      <top style="thin">
        <color rgb="FFFF0000"/>
      </top>
      <bottom style="thin">
        <color rgb="FFFF0000"/>
      </bottom>
      <diagonal/>
    </border>
    <border>
      <left style="thin">
        <color rgb="FFFFFF00"/>
      </left>
      <right/>
      <top/>
      <bottom/>
      <diagonal/>
    </border>
    <border>
      <left style="thin">
        <color auto="1"/>
      </left>
      <right style="thin">
        <color auto="1"/>
      </right>
      <top/>
      <bottom style="thin">
        <color rgb="FFFFFF00"/>
      </bottom>
      <diagonal/>
    </border>
    <border>
      <left style="thin">
        <color auto="1"/>
      </left>
      <right style="thin">
        <color rgb="FFFFFF00"/>
      </right>
      <top/>
      <bottom style="thin">
        <color rgb="FFFFFF00"/>
      </bottom>
      <diagonal/>
    </border>
    <border>
      <left style="thin">
        <color rgb="FF00B0F0"/>
      </left>
      <right style="thin">
        <color rgb="FF00B0F0"/>
      </right>
      <top style="thin">
        <color rgb="FF00B0F0"/>
      </top>
      <bottom style="thin">
        <color rgb="FF00B0F0"/>
      </bottom>
      <diagonal/>
    </border>
    <border>
      <left style="thin">
        <color rgb="FFFFFF00"/>
      </left>
      <right/>
      <top/>
      <bottom style="thin">
        <color auto="1"/>
      </bottom>
      <diagonal/>
    </border>
    <border>
      <left style="thin">
        <color rgb="FFC00000"/>
      </left>
      <right style="thin">
        <color rgb="FFC00000"/>
      </right>
      <top style="thin">
        <color rgb="FFC00000"/>
      </top>
      <bottom style="thin">
        <color rgb="FFC00000"/>
      </bottom>
      <diagonal/>
    </border>
    <border>
      <left style="thin">
        <color rgb="FF1D1B11"/>
      </left>
      <right/>
      <top/>
      <bottom style="thin">
        <color rgb="FF1D1B11"/>
      </bottom>
      <diagonal/>
    </border>
    <border>
      <left style="thin">
        <color rgb="FF04FFEE"/>
      </left>
      <right style="thin">
        <color rgb="FF04FFEE"/>
      </right>
      <top style="thin">
        <color rgb="FF04FFEE"/>
      </top>
      <bottom style="thin">
        <color rgb="FF04FFEE"/>
      </bottom>
      <diagonal/>
    </border>
    <border>
      <left style="thin">
        <color theme="0"/>
      </left>
      <right/>
      <top/>
      <bottom style="thin">
        <color theme="0"/>
      </bottom>
      <diagonal/>
    </border>
    <border>
      <left/>
      <right/>
      <top style="thin">
        <color theme="0"/>
      </top>
      <bottom style="thin">
        <color auto="1"/>
      </bottom>
      <diagonal/>
    </border>
    <border>
      <left/>
      <right style="thin">
        <color auto="1"/>
      </right>
      <top style="thin">
        <color theme="0"/>
      </top>
      <bottom/>
      <diagonal/>
    </border>
    <border>
      <left/>
      <right style="thin">
        <color auto="1"/>
      </right>
      <top style="thin">
        <color theme="9" tint="-0.24994659260841701"/>
      </top>
      <bottom style="thin">
        <color auto="1"/>
      </bottom>
      <diagonal/>
    </border>
    <border>
      <left/>
      <right style="thin">
        <color auto="1"/>
      </right>
      <top/>
      <bottom style="thin">
        <color theme="0"/>
      </bottom>
      <diagonal/>
    </border>
    <border>
      <left style="thin">
        <color theme="0"/>
      </left>
      <right style="thin">
        <color auto="1"/>
      </right>
      <top/>
      <bottom style="thin">
        <color auto="1"/>
      </bottom>
      <diagonal/>
    </border>
    <border>
      <left/>
      <right style="thin">
        <color rgb="FF04FFEE"/>
      </right>
      <top style="thin">
        <color auto="1"/>
      </top>
      <bottom style="thin">
        <color theme="9" tint="-0.24994659260841701"/>
      </bottom>
      <diagonal/>
    </border>
    <border>
      <left style="thin">
        <color theme="0"/>
      </left>
      <right style="thin">
        <color theme="0"/>
      </right>
      <top style="thin">
        <color theme="9" tint="-0.24994659260841701"/>
      </top>
      <bottom style="thin">
        <color theme="0"/>
      </bottom>
      <diagonal/>
    </border>
    <border>
      <left style="thin">
        <color theme="0"/>
      </left>
      <right style="thin">
        <color rgb="FF04FFEE"/>
      </right>
      <top style="thin">
        <color theme="0"/>
      </top>
      <bottom style="thin">
        <color theme="0"/>
      </bottom>
      <diagonal/>
    </border>
    <border>
      <left style="thin">
        <color theme="0"/>
      </left>
      <right style="thin">
        <color theme="9" tint="-0.24994659260841701"/>
      </right>
      <top style="thin">
        <color theme="0"/>
      </top>
      <bottom style="thin">
        <color auto="1"/>
      </bottom>
      <diagonal/>
    </border>
    <border>
      <left style="thin">
        <color theme="0"/>
      </left>
      <right style="thin">
        <color theme="9" tint="-0.24994659260841701"/>
      </right>
      <top style="thin">
        <color auto="1"/>
      </top>
      <bottom style="thin">
        <color auto="1"/>
      </bottom>
      <diagonal/>
    </border>
    <border>
      <left style="thin">
        <color theme="0"/>
      </left>
      <right style="thin">
        <color theme="9" tint="-0.24994659260841701"/>
      </right>
      <top style="thin">
        <color auto="1"/>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s>
  <cellStyleXfs count="2">
    <xf numFmtId="0" fontId="0" fillId="0" borderId="0"/>
    <xf numFmtId="43" fontId="2" fillId="0" borderId="0" applyFont="0" applyFill="0" applyBorder="0" applyAlignment="0" applyProtection="0"/>
  </cellStyleXfs>
  <cellXfs count="648">
    <xf numFmtId="0" fontId="0" fillId="0" borderId="0" xfId="0"/>
    <xf numFmtId="0" fontId="1" fillId="0" borderId="0" xfId="0" applyFont="1"/>
    <xf numFmtId="0" fontId="0" fillId="2" borderId="0" xfId="0" applyFill="1" applyBorder="1"/>
    <xf numFmtId="0" fontId="1" fillId="2" borderId="0" xfId="0" applyFont="1" applyFill="1" applyBorder="1"/>
    <xf numFmtId="0" fontId="1" fillId="3" borderId="1" xfId="0" applyFont="1" applyFill="1" applyBorder="1"/>
    <xf numFmtId="0" fontId="4" fillId="3" borderId="1" xfId="0" applyFont="1" applyFill="1" applyBorder="1"/>
    <xf numFmtId="0" fontId="0" fillId="4" borderId="0" xfId="0" applyFill="1" applyBorder="1"/>
    <xf numFmtId="0" fontId="1" fillId="4" borderId="0" xfId="0" applyFont="1" applyFill="1" applyBorder="1"/>
    <xf numFmtId="0" fontId="3" fillId="5" borderId="2" xfId="0" applyFont="1" applyFill="1" applyBorder="1"/>
    <xf numFmtId="0" fontId="1" fillId="6" borderId="3" xfId="0" applyFont="1" applyFill="1" applyBorder="1"/>
    <xf numFmtId="0" fontId="1" fillId="6" borderId="4" xfId="0" applyFont="1" applyFill="1" applyBorder="1"/>
    <xf numFmtId="0" fontId="4" fillId="6" borderId="5" xfId="0" applyFont="1" applyFill="1" applyBorder="1"/>
    <xf numFmtId="0" fontId="1" fillId="7" borderId="3" xfId="0" applyFont="1" applyFill="1" applyBorder="1"/>
    <xf numFmtId="0" fontId="4" fillId="7" borderId="6" xfId="0" applyFont="1" applyFill="1" applyBorder="1"/>
    <xf numFmtId="0" fontId="1" fillId="7" borderId="5" xfId="0" applyFont="1" applyFill="1" applyBorder="1"/>
    <xf numFmtId="0" fontId="1" fillId="8" borderId="7" xfId="0" applyFont="1" applyFill="1" applyBorder="1"/>
    <xf numFmtId="0" fontId="1" fillId="8" borderId="8" xfId="0" applyFont="1" applyFill="1" applyBorder="1"/>
    <xf numFmtId="0" fontId="1" fillId="4" borderId="8" xfId="0" applyFont="1" applyFill="1" applyBorder="1"/>
    <xf numFmtId="0" fontId="1" fillId="6" borderId="2" xfId="0" applyFont="1" applyFill="1" applyBorder="1"/>
    <xf numFmtId="0" fontId="1" fillId="7" borderId="2" xfId="0" applyFont="1" applyFill="1" applyBorder="1"/>
    <xf numFmtId="0" fontId="1" fillId="8" borderId="6" xfId="0" applyFont="1" applyFill="1" applyBorder="1"/>
    <xf numFmtId="0" fontId="3" fillId="0" borderId="9" xfId="0" applyFont="1" applyFill="1" applyBorder="1"/>
    <xf numFmtId="0" fontId="1" fillId="0" borderId="7" xfId="0" applyFont="1" applyFill="1" applyBorder="1"/>
    <xf numFmtId="0" fontId="1" fillId="0" borderId="8" xfId="0" applyFont="1" applyFill="1" applyBorder="1"/>
    <xf numFmtId="0" fontId="1" fillId="2" borderId="7" xfId="0" applyFont="1" applyFill="1" applyBorder="1"/>
    <xf numFmtId="0" fontId="3" fillId="0" borderId="7" xfId="0" applyFont="1" applyFill="1" applyBorder="1"/>
    <xf numFmtId="0" fontId="1" fillId="9" borderId="7" xfId="0" applyFont="1" applyFill="1" applyBorder="1"/>
    <xf numFmtId="0" fontId="3" fillId="9" borderId="7" xfId="0" applyFont="1" applyFill="1" applyBorder="1"/>
    <xf numFmtId="0" fontId="5" fillId="0" borderId="7" xfId="0" applyFont="1" applyBorder="1"/>
    <xf numFmtId="164" fontId="5" fillId="0" borderId="7" xfId="1" applyNumberFormat="1" applyFont="1" applyBorder="1"/>
    <xf numFmtId="0" fontId="1" fillId="9" borderId="8" xfId="0" applyFont="1" applyFill="1" applyBorder="1"/>
    <xf numFmtId="0" fontId="1" fillId="10" borderId="7" xfId="0" applyFont="1" applyFill="1" applyBorder="1"/>
    <xf numFmtId="0" fontId="3" fillId="10" borderId="7" xfId="0" applyFont="1" applyFill="1" applyBorder="1"/>
    <xf numFmtId="0" fontId="0" fillId="0" borderId="7" xfId="0" applyFill="1" applyBorder="1"/>
    <xf numFmtId="0" fontId="0" fillId="0" borderId="8" xfId="0" applyFill="1" applyBorder="1"/>
    <xf numFmtId="0" fontId="6" fillId="11" borderId="7" xfId="0" applyFont="1" applyFill="1" applyBorder="1"/>
    <xf numFmtId="0" fontId="3" fillId="11" borderId="7" xfId="0" applyFont="1" applyFill="1" applyBorder="1"/>
    <xf numFmtId="0" fontId="7" fillId="11" borderId="7" xfId="0" applyFont="1" applyFill="1" applyBorder="1"/>
    <xf numFmtId="0" fontId="8" fillId="0" borderId="7" xfId="0" applyFont="1" applyFill="1" applyBorder="1"/>
    <xf numFmtId="0" fontId="1" fillId="0" borderId="0" xfId="0" applyFont="1" applyBorder="1"/>
    <xf numFmtId="0" fontId="0" fillId="9" borderId="7" xfId="0" applyFill="1" applyBorder="1"/>
    <xf numFmtId="0" fontId="3" fillId="0" borderId="7" xfId="0" applyFont="1" applyBorder="1"/>
    <xf numFmtId="0" fontId="1" fillId="0" borderId="7" xfId="0" applyFont="1" applyBorder="1"/>
    <xf numFmtId="0" fontId="1" fillId="0" borderId="8" xfId="0" applyFont="1" applyBorder="1"/>
    <xf numFmtId="0" fontId="8" fillId="0" borderId="0" xfId="0" applyFont="1" applyFill="1" applyBorder="1"/>
    <xf numFmtId="0" fontId="10" fillId="0" borderId="0" xfId="0" applyFont="1" applyBorder="1"/>
    <xf numFmtId="0" fontId="1" fillId="12" borderId="7" xfId="0" applyFont="1" applyFill="1" applyBorder="1"/>
    <xf numFmtId="0" fontId="1" fillId="12" borderId="8" xfId="0" applyFont="1" applyFill="1" applyBorder="1"/>
    <xf numFmtId="0" fontId="1" fillId="13" borderId="7" xfId="0" applyFont="1" applyFill="1" applyBorder="1"/>
    <xf numFmtId="0" fontId="1" fillId="13" borderId="0" xfId="0" applyFont="1" applyFill="1"/>
    <xf numFmtId="0" fontId="1" fillId="13" borderId="8" xfId="0" applyFont="1" applyFill="1" applyBorder="1"/>
    <xf numFmtId="0" fontId="1" fillId="14" borderId="7" xfId="0" applyFont="1" applyFill="1" applyBorder="1"/>
    <xf numFmtId="0" fontId="1" fillId="14" borderId="8" xfId="0" applyFont="1" applyFill="1" applyBorder="1"/>
    <xf numFmtId="0" fontId="3" fillId="15" borderId="7" xfId="0" applyFont="1" applyFill="1" applyBorder="1"/>
    <xf numFmtId="0" fontId="1" fillId="16" borderId="0" xfId="0" applyFont="1" applyFill="1"/>
    <xf numFmtId="0" fontId="12" fillId="3" borderId="0" xfId="0" applyFont="1" applyFill="1" applyBorder="1"/>
    <xf numFmtId="0" fontId="13" fillId="3" borderId="0" xfId="0" applyFont="1" applyFill="1" applyBorder="1"/>
    <xf numFmtId="0" fontId="14" fillId="3" borderId="0" xfId="0" applyFont="1" applyFill="1" applyBorder="1"/>
    <xf numFmtId="0" fontId="12" fillId="3" borderId="0" xfId="0" applyFont="1" applyFill="1"/>
    <xf numFmtId="0" fontId="1" fillId="3" borderId="0" xfId="0" applyFont="1" applyFill="1"/>
    <xf numFmtId="0" fontId="1" fillId="0" borderId="6" xfId="0" applyFont="1" applyFill="1" applyBorder="1"/>
    <xf numFmtId="0" fontId="1" fillId="0" borderId="6" xfId="0" applyFont="1" applyBorder="1"/>
    <xf numFmtId="0" fontId="1" fillId="0" borderId="0" xfId="0" applyFont="1" applyFill="1"/>
    <xf numFmtId="0" fontId="4" fillId="0" borderId="0" xfId="0" applyFont="1"/>
    <xf numFmtId="0" fontId="8" fillId="3" borderId="0" xfId="0" applyFont="1" applyFill="1" applyBorder="1"/>
    <xf numFmtId="0" fontId="8" fillId="0" borderId="6" xfId="0" applyFont="1" applyFill="1" applyBorder="1"/>
    <xf numFmtId="0" fontId="12" fillId="4" borderId="0" xfId="0" applyFont="1" applyFill="1" applyBorder="1"/>
    <xf numFmtId="0" fontId="1" fillId="17" borderId="0" xfId="0" applyFont="1" applyFill="1"/>
    <xf numFmtId="0" fontId="1" fillId="0" borderId="10" xfId="0" applyFont="1" applyBorder="1"/>
    <xf numFmtId="0" fontId="1" fillId="0" borderId="9" xfId="0" applyFont="1" applyBorder="1"/>
    <xf numFmtId="0" fontId="1" fillId="0" borderId="2" xfId="0" applyFont="1" applyBorder="1"/>
    <xf numFmtId="0" fontId="15" fillId="0" borderId="0" xfId="0" applyFont="1"/>
    <xf numFmtId="0" fontId="1" fillId="2" borderId="6" xfId="0" applyFont="1" applyFill="1" applyBorder="1"/>
    <xf numFmtId="0" fontId="1" fillId="9" borderId="6" xfId="0" applyFont="1" applyFill="1" applyBorder="1"/>
    <xf numFmtId="0" fontId="1" fillId="2" borderId="0" xfId="0" applyFont="1" applyFill="1"/>
    <xf numFmtId="0" fontId="4" fillId="3" borderId="0" xfId="0" applyFont="1" applyFill="1" applyBorder="1"/>
    <xf numFmtId="0" fontId="17" fillId="17" borderId="0" xfId="0" applyFont="1" applyFill="1"/>
    <xf numFmtId="0" fontId="13" fillId="3" borderId="0" xfId="0" applyFont="1" applyFill="1"/>
    <xf numFmtId="0" fontId="1" fillId="11" borderId="9" xfId="0" applyFont="1" applyFill="1" applyBorder="1"/>
    <xf numFmtId="0" fontId="1" fillId="0" borderId="15" xfId="0" applyFont="1" applyBorder="1"/>
    <xf numFmtId="0" fontId="1" fillId="3" borderId="0" xfId="0" applyFont="1" applyFill="1" applyBorder="1"/>
    <xf numFmtId="0" fontId="1" fillId="19" borderId="0" xfId="0" applyFont="1" applyFill="1"/>
    <xf numFmtId="0" fontId="1" fillId="9" borderId="0" xfId="0" applyFont="1" applyFill="1"/>
    <xf numFmtId="0" fontId="1" fillId="6" borderId="0" xfId="0" applyFont="1" applyFill="1"/>
    <xf numFmtId="0" fontId="18" fillId="14" borderId="0" xfId="0" applyFont="1" applyFill="1"/>
    <xf numFmtId="0" fontId="1" fillId="8" borderId="0" xfId="0" applyFont="1" applyFill="1"/>
    <xf numFmtId="0" fontId="1" fillId="0" borderId="0" xfId="0" applyFont="1" applyFill="1" applyBorder="1"/>
    <xf numFmtId="0" fontId="1" fillId="18" borderId="0" xfId="0" applyFont="1" applyFill="1"/>
    <xf numFmtId="0" fontId="1" fillId="11" borderId="0" xfId="0" applyFont="1" applyFill="1"/>
    <xf numFmtId="0" fontId="4" fillId="2" borderId="1" xfId="0" applyFont="1" applyFill="1" applyBorder="1"/>
    <xf numFmtId="0" fontId="4" fillId="0" borderId="0" xfId="0" applyFont="1" applyFill="1"/>
    <xf numFmtId="0" fontId="1" fillId="6" borderId="6" xfId="0" applyFont="1" applyFill="1" applyBorder="1"/>
    <xf numFmtId="0" fontId="1" fillId="11" borderId="6" xfId="0" applyFont="1" applyFill="1" applyBorder="1"/>
    <xf numFmtId="0" fontId="1" fillId="21" borderId="6" xfId="0" applyFont="1" applyFill="1" applyBorder="1"/>
    <xf numFmtId="0" fontId="1" fillId="17" borderId="0" xfId="0" applyFont="1" applyFill="1" applyBorder="1"/>
    <xf numFmtId="0" fontId="3" fillId="17" borderId="0" xfId="0" applyFont="1" applyFill="1"/>
    <xf numFmtId="0" fontId="4" fillId="18" borderId="0" xfId="0" applyFont="1" applyFill="1"/>
    <xf numFmtId="0" fontId="4" fillId="6" borderId="0" xfId="0" applyFont="1" applyFill="1"/>
    <xf numFmtId="0" fontId="1" fillId="4" borderId="0" xfId="0" applyFont="1" applyFill="1"/>
    <xf numFmtId="0" fontId="1" fillId="4" borderId="1" xfId="0" applyFont="1" applyFill="1" applyBorder="1"/>
    <xf numFmtId="0" fontId="16" fillId="4" borderId="1" xfId="0" applyFont="1" applyFill="1" applyBorder="1"/>
    <xf numFmtId="0" fontId="1" fillId="4" borderId="17" xfId="0" applyFont="1" applyFill="1" applyBorder="1"/>
    <xf numFmtId="0" fontId="16" fillId="4" borderId="8" xfId="0" applyFont="1" applyFill="1" applyBorder="1"/>
    <xf numFmtId="0" fontId="21" fillId="4" borderId="0" xfId="0" applyFont="1" applyFill="1" applyBorder="1"/>
    <xf numFmtId="0" fontId="4" fillId="4" borderId="0" xfId="0" applyFont="1" applyFill="1" applyBorder="1"/>
    <xf numFmtId="0" fontId="16" fillId="4" borderId="0" xfId="0" applyFont="1" applyFill="1" applyBorder="1"/>
    <xf numFmtId="0" fontId="1" fillId="4" borderId="11" xfId="0" applyFont="1" applyFill="1" applyBorder="1"/>
    <xf numFmtId="0" fontId="12" fillId="22" borderId="8" xfId="0" applyFont="1" applyFill="1" applyBorder="1"/>
    <xf numFmtId="0" fontId="1" fillId="22" borderId="0" xfId="0" applyFont="1" applyFill="1" applyBorder="1"/>
    <xf numFmtId="0" fontId="4" fillId="23" borderId="0" xfId="0" applyFont="1" applyFill="1" applyBorder="1"/>
    <xf numFmtId="0" fontId="1" fillId="23" borderId="0" xfId="0" applyFont="1" applyFill="1" applyBorder="1"/>
    <xf numFmtId="0" fontId="1" fillId="22" borderId="11" xfId="0" applyFont="1" applyFill="1" applyBorder="1"/>
    <xf numFmtId="0" fontId="16" fillId="23" borderId="8" xfId="0" applyFont="1" applyFill="1" applyBorder="1"/>
    <xf numFmtId="0" fontId="3" fillId="23" borderId="0" xfId="0" applyFont="1" applyFill="1" applyBorder="1"/>
    <xf numFmtId="0" fontId="1" fillId="23" borderId="11" xfId="0" applyFont="1" applyFill="1" applyBorder="1"/>
    <xf numFmtId="0" fontId="17" fillId="23" borderId="8" xfId="0" applyFont="1" applyFill="1" applyBorder="1"/>
    <xf numFmtId="0" fontId="6" fillId="24" borderId="0" xfId="0" applyFont="1" applyFill="1" applyBorder="1"/>
    <xf numFmtId="0" fontId="16" fillId="23" borderId="18" xfId="0" applyFont="1" applyFill="1" applyBorder="1"/>
    <xf numFmtId="0" fontId="16" fillId="23" borderId="19" xfId="0" applyFont="1" applyFill="1" applyBorder="1"/>
    <xf numFmtId="0" fontId="17" fillId="23" borderId="0" xfId="0" applyFont="1" applyFill="1" applyBorder="1"/>
    <xf numFmtId="0" fontId="12" fillId="23" borderId="0" xfId="0" applyFont="1" applyFill="1" applyBorder="1"/>
    <xf numFmtId="0" fontId="3" fillId="23" borderId="21" xfId="0" applyFont="1" applyFill="1" applyBorder="1"/>
    <xf numFmtId="0" fontId="1" fillId="23" borderId="22" xfId="0" applyFont="1" applyFill="1" applyBorder="1"/>
    <xf numFmtId="0" fontId="16" fillId="23" borderId="23" xfId="0" applyFont="1" applyFill="1" applyBorder="1"/>
    <xf numFmtId="0" fontId="24" fillId="23" borderId="24" xfId="0" applyFont="1" applyFill="1" applyBorder="1"/>
    <xf numFmtId="0" fontId="1" fillId="23" borderId="25" xfId="0" applyFont="1" applyFill="1" applyBorder="1"/>
    <xf numFmtId="0" fontId="3" fillId="23" borderId="8" xfId="0" applyFont="1" applyFill="1" applyBorder="1"/>
    <xf numFmtId="0" fontId="3" fillId="23" borderId="26" xfId="0" applyFont="1" applyFill="1" applyBorder="1"/>
    <xf numFmtId="0" fontId="1" fillId="23" borderId="27" xfId="0" applyFont="1" applyFill="1" applyBorder="1"/>
    <xf numFmtId="0" fontId="12" fillId="23" borderId="8" xfId="0" applyFont="1" applyFill="1" applyBorder="1"/>
    <xf numFmtId="0" fontId="13" fillId="23" borderId="0" xfId="0" applyFont="1" applyFill="1" applyBorder="1"/>
    <xf numFmtId="0" fontId="14" fillId="23" borderId="0" xfId="0" applyFont="1" applyFill="1" applyBorder="1"/>
    <xf numFmtId="0" fontId="3" fillId="4" borderId="0" xfId="0" applyFont="1" applyFill="1" applyBorder="1"/>
    <xf numFmtId="0" fontId="3" fillId="4" borderId="8" xfId="0" applyFont="1" applyFill="1" applyBorder="1"/>
    <xf numFmtId="0" fontId="1" fillId="22" borderId="8" xfId="0" applyFont="1" applyFill="1" applyBorder="1"/>
    <xf numFmtId="0" fontId="21" fillId="22" borderId="14" xfId="0" applyFont="1" applyFill="1" applyBorder="1"/>
    <xf numFmtId="0" fontId="25" fillId="22" borderId="0" xfId="0" applyFont="1" applyFill="1" applyBorder="1"/>
    <xf numFmtId="0" fontId="16" fillId="22" borderId="0" xfId="0" applyFont="1" applyFill="1" applyBorder="1"/>
    <xf numFmtId="0" fontId="3" fillId="22" borderId="0" xfId="0" applyFont="1" applyFill="1" applyBorder="1"/>
    <xf numFmtId="0" fontId="21" fillId="22" borderId="0" xfId="0" applyFont="1" applyFill="1" applyBorder="1"/>
    <xf numFmtId="0" fontId="1" fillId="4" borderId="6" xfId="0" applyFont="1" applyFill="1" applyBorder="1"/>
    <xf numFmtId="0" fontId="16" fillId="4" borderId="6" xfId="0" applyFont="1" applyFill="1" applyBorder="1"/>
    <xf numFmtId="0" fontId="16" fillId="0" borderId="9" xfId="0" applyFont="1" applyBorder="1"/>
    <xf numFmtId="0" fontId="1" fillId="0" borderId="9" xfId="0" applyFont="1" applyFill="1" applyBorder="1"/>
    <xf numFmtId="0" fontId="21" fillId="0" borderId="9" xfId="0" applyFont="1" applyFill="1" applyBorder="1"/>
    <xf numFmtId="0" fontId="4" fillId="0" borderId="9" xfId="0" applyFont="1" applyBorder="1"/>
    <xf numFmtId="0" fontId="21" fillId="0" borderId="9" xfId="0" applyFont="1" applyBorder="1"/>
    <xf numFmtId="0" fontId="1" fillId="0" borderId="3" xfId="0" applyFont="1" applyBorder="1"/>
    <xf numFmtId="0" fontId="12" fillId="0" borderId="29" xfId="0" applyFont="1" applyBorder="1"/>
    <xf numFmtId="0" fontId="1" fillId="0" borderId="30" xfId="0" applyFont="1" applyFill="1" applyBorder="1"/>
    <xf numFmtId="0" fontId="1" fillId="0" borderId="30" xfId="0" applyFont="1" applyBorder="1"/>
    <xf numFmtId="0" fontId="1" fillId="0" borderId="31" xfId="0" applyFont="1" applyBorder="1"/>
    <xf numFmtId="0" fontId="4" fillId="0" borderId="32" xfId="0" applyFont="1" applyBorder="1"/>
    <xf numFmtId="0" fontId="1" fillId="0" borderId="33" xfId="0" applyFont="1" applyFill="1" applyBorder="1"/>
    <xf numFmtId="0" fontId="1" fillId="0" borderId="34" xfId="0" applyFont="1" applyBorder="1"/>
    <xf numFmtId="0" fontId="1" fillId="0" borderId="36" xfId="0" applyFont="1" applyBorder="1"/>
    <xf numFmtId="0" fontId="1" fillId="0" borderId="5" xfId="0" applyFont="1" applyBorder="1"/>
    <xf numFmtId="0" fontId="12" fillId="0" borderId="37" xfId="0" applyFont="1" applyBorder="1"/>
    <xf numFmtId="0" fontId="1" fillId="0" borderId="38" xfId="0" applyFont="1" applyFill="1" applyBorder="1"/>
    <xf numFmtId="0" fontId="1" fillId="0" borderId="38" xfId="0" applyFont="1" applyBorder="1"/>
    <xf numFmtId="0" fontId="1" fillId="0" borderId="39" xfId="0" applyFont="1" applyBorder="1"/>
    <xf numFmtId="0" fontId="6" fillId="0" borderId="40" xfId="0" applyFont="1" applyBorder="1"/>
    <xf numFmtId="0" fontId="1" fillId="0" borderId="41" xfId="0" applyFont="1" applyFill="1" applyBorder="1"/>
    <xf numFmtId="0" fontId="1" fillId="0" borderId="42" xfId="0" applyFont="1" applyBorder="1"/>
    <xf numFmtId="0" fontId="1" fillId="0" borderId="43" xfId="0" applyFont="1" applyBorder="1"/>
    <xf numFmtId="0" fontId="26" fillId="0" borderId="32" xfId="0" applyFont="1" applyBorder="1"/>
    <xf numFmtId="0" fontId="4" fillId="0" borderId="44" xfId="0" applyFont="1" applyBorder="1"/>
    <xf numFmtId="0" fontId="1" fillId="0" borderId="44" xfId="0" applyFont="1" applyBorder="1"/>
    <xf numFmtId="0" fontId="1" fillId="0" borderId="2" xfId="0" applyFont="1" applyFill="1" applyBorder="1"/>
    <xf numFmtId="0" fontId="1" fillId="0" borderId="33" xfId="0" applyFont="1" applyBorder="1"/>
    <xf numFmtId="0" fontId="28" fillId="0" borderId="45" xfId="0" applyFont="1" applyBorder="1"/>
    <xf numFmtId="0" fontId="1" fillId="0" borderId="3" xfId="0" applyFont="1" applyFill="1" applyBorder="1"/>
    <xf numFmtId="0" fontId="1" fillId="0" borderId="46" xfId="0" applyFont="1" applyBorder="1"/>
    <xf numFmtId="0" fontId="1" fillId="0" borderId="47" xfId="0" applyFont="1" applyBorder="1"/>
    <xf numFmtId="0" fontId="4" fillId="0" borderId="17" xfId="0" applyFont="1" applyBorder="1"/>
    <xf numFmtId="0" fontId="1" fillId="0" borderId="16" xfId="0" applyFont="1" applyBorder="1"/>
    <xf numFmtId="0" fontId="1" fillId="0" borderId="49" xfId="0" applyFont="1" applyBorder="1"/>
    <xf numFmtId="0" fontId="12" fillId="0" borderId="6" xfId="0" applyFont="1" applyBorder="1"/>
    <xf numFmtId="0" fontId="12" fillId="0" borderId="50" xfId="0" applyFont="1" applyBorder="1"/>
    <xf numFmtId="0" fontId="1" fillId="0" borderId="32" xfId="0" applyFont="1" applyBorder="1"/>
    <xf numFmtId="0" fontId="15" fillId="0" borderId="34" xfId="0" applyFont="1" applyBorder="1"/>
    <xf numFmtId="0" fontId="12" fillId="0" borderId="12" xfId="0" applyFont="1" applyBorder="1"/>
    <xf numFmtId="0" fontId="12" fillId="0" borderId="2" xfId="0" applyFont="1" applyBorder="1"/>
    <xf numFmtId="0" fontId="12" fillId="0" borderId="3" xfId="0" applyFont="1" applyBorder="1"/>
    <xf numFmtId="0" fontId="29" fillId="0" borderId="45" xfId="0" applyFont="1" applyBorder="1"/>
    <xf numFmtId="0" fontId="12" fillId="0" borderId="5" xfId="0" applyFont="1" applyBorder="1"/>
    <xf numFmtId="0" fontId="30" fillId="0" borderId="45" xfId="0" applyFont="1" applyBorder="1"/>
    <xf numFmtId="0" fontId="1" fillId="0" borderId="51" xfId="0" applyFont="1" applyBorder="1"/>
    <xf numFmtId="0" fontId="4" fillId="0" borderId="6" xfId="0" applyFont="1" applyBorder="1"/>
    <xf numFmtId="0" fontId="1" fillId="0" borderId="45" xfId="0" applyFont="1" applyBorder="1"/>
    <xf numFmtId="0" fontId="12" fillId="0" borderId="45" xfId="0" applyFont="1" applyBorder="1"/>
    <xf numFmtId="0" fontId="1" fillId="0" borderId="50" xfId="0" applyFont="1" applyBorder="1"/>
    <xf numFmtId="0" fontId="13" fillId="3" borderId="10" xfId="0" applyFont="1" applyFill="1" applyBorder="1"/>
    <xf numFmtId="0" fontId="14" fillId="3" borderId="10" xfId="0" applyFont="1" applyFill="1" applyBorder="1"/>
    <xf numFmtId="0" fontId="1" fillId="3" borderId="53" xfId="0" applyFont="1" applyFill="1" applyBorder="1"/>
    <xf numFmtId="0" fontId="13" fillId="0" borderId="7" xfId="0" applyFont="1" applyFill="1" applyBorder="1"/>
    <xf numFmtId="0" fontId="14" fillId="0" borderId="7" xfId="0" applyFont="1" applyFill="1" applyBorder="1"/>
    <xf numFmtId="0" fontId="1" fillId="0" borderId="12" xfId="0" applyFont="1" applyBorder="1"/>
    <xf numFmtId="0" fontId="12" fillId="0" borderId="38" xfId="0" applyFont="1" applyBorder="1"/>
    <xf numFmtId="0" fontId="1" fillId="0" borderId="52" xfId="0" applyFont="1" applyBorder="1"/>
    <xf numFmtId="0" fontId="1" fillId="0" borderId="54" xfId="0" applyFont="1" applyBorder="1"/>
    <xf numFmtId="0" fontId="16" fillId="0" borderId="55" xfId="0" applyFont="1" applyBorder="1"/>
    <xf numFmtId="0" fontId="16" fillId="0" borderId="6" xfId="0" applyFont="1" applyBorder="1"/>
    <xf numFmtId="0" fontId="1" fillId="0" borderId="56" xfId="0" applyFont="1" applyBorder="1"/>
    <xf numFmtId="0" fontId="3" fillId="0" borderId="55" xfId="0" applyFont="1" applyBorder="1"/>
    <xf numFmtId="0" fontId="3" fillId="0" borderId="57" xfId="0" applyFont="1" applyBorder="1"/>
    <xf numFmtId="0" fontId="12" fillId="0" borderId="5" xfId="0" applyFont="1" applyFill="1" applyBorder="1"/>
    <xf numFmtId="0" fontId="21" fillId="0" borderId="6" xfId="0" applyFont="1" applyBorder="1"/>
    <xf numFmtId="0" fontId="1" fillId="0" borderId="57" xfId="0" applyFont="1" applyBorder="1"/>
    <xf numFmtId="0" fontId="25" fillId="0" borderId="5" xfId="0" applyFont="1" applyFill="1" applyBorder="1"/>
    <xf numFmtId="0" fontId="3" fillId="0" borderId="6" xfId="0" applyFont="1" applyBorder="1"/>
    <xf numFmtId="0" fontId="1" fillId="0" borderId="58" xfId="0" applyFont="1" applyBorder="1"/>
    <xf numFmtId="0" fontId="1" fillId="0" borderId="59" xfId="0" applyFont="1" applyFill="1" applyBorder="1"/>
    <xf numFmtId="0" fontId="1" fillId="0" borderId="41" xfId="0" applyFont="1" applyBorder="1"/>
    <xf numFmtId="0" fontId="1" fillId="0" borderId="60" xfId="0" applyFont="1" applyBorder="1"/>
    <xf numFmtId="0" fontId="3" fillId="4" borderId="6" xfId="0" applyFont="1" applyFill="1" applyBorder="1"/>
    <xf numFmtId="0" fontId="1" fillId="4" borderId="9" xfId="0" applyFont="1" applyFill="1" applyBorder="1"/>
    <xf numFmtId="0" fontId="1" fillId="4" borderId="3" xfId="0" applyFont="1" applyFill="1" applyBorder="1"/>
    <xf numFmtId="0" fontId="3" fillId="4" borderId="32" xfId="0" applyFont="1" applyFill="1" applyBorder="1"/>
    <xf numFmtId="0" fontId="1" fillId="4" borderId="34" xfId="0" applyFont="1" applyFill="1" applyBorder="1"/>
    <xf numFmtId="0" fontId="1" fillId="4" borderId="5" xfId="0" applyFont="1" applyFill="1" applyBorder="1"/>
    <xf numFmtId="0" fontId="3" fillId="4" borderId="45" xfId="0" applyFont="1" applyFill="1" applyBorder="1"/>
    <xf numFmtId="0" fontId="1" fillId="4" borderId="61" xfId="0" applyFont="1" applyFill="1" applyBorder="1"/>
    <xf numFmtId="0" fontId="3" fillId="4" borderId="62" xfId="0" applyFont="1" applyFill="1" applyBorder="1"/>
    <xf numFmtId="0" fontId="16" fillId="4" borderId="63" xfId="0" applyFont="1" applyFill="1" applyBorder="1"/>
    <xf numFmtId="0" fontId="12" fillId="4" borderId="6" xfId="0" applyFont="1" applyFill="1" applyBorder="1"/>
    <xf numFmtId="0" fontId="3" fillId="4" borderId="51" xfId="0" applyFont="1" applyFill="1" applyBorder="1"/>
    <xf numFmtId="0" fontId="1" fillId="4" borderId="64" xfId="0" applyFont="1" applyFill="1" applyBorder="1"/>
    <xf numFmtId="0" fontId="1" fillId="4" borderId="2" xfId="0" applyFont="1" applyFill="1" applyBorder="1"/>
    <xf numFmtId="0" fontId="12" fillId="3" borderId="8" xfId="0" applyFont="1" applyFill="1" applyBorder="1"/>
    <xf numFmtId="0" fontId="1" fillId="3" borderId="11" xfId="0" applyFont="1" applyFill="1" applyBorder="1"/>
    <xf numFmtId="0" fontId="6" fillId="3" borderId="0" xfId="0" applyFont="1" applyFill="1" applyBorder="1"/>
    <xf numFmtId="0" fontId="28" fillId="3" borderId="8" xfId="0" applyFont="1" applyFill="1" applyBorder="1"/>
    <xf numFmtId="0" fontId="1" fillId="3" borderId="3" xfId="0" applyFont="1" applyFill="1" applyBorder="1"/>
    <xf numFmtId="0" fontId="1" fillId="3" borderId="4" xfId="0" applyFont="1" applyFill="1" applyBorder="1"/>
    <xf numFmtId="0" fontId="1" fillId="3" borderId="16" xfId="0" applyFont="1" applyFill="1" applyBorder="1"/>
    <xf numFmtId="0" fontId="15" fillId="3" borderId="17" xfId="0" applyFont="1" applyFill="1" applyBorder="1"/>
    <xf numFmtId="0" fontId="29" fillId="3" borderId="8" xfId="0" applyFont="1" applyFill="1" applyBorder="1"/>
    <xf numFmtId="0" fontId="30" fillId="3" borderId="8" xfId="0" applyFont="1" applyFill="1" applyBorder="1"/>
    <xf numFmtId="0" fontId="1" fillId="3" borderId="50" xfId="0" applyFont="1" applyFill="1" applyBorder="1"/>
    <xf numFmtId="0" fontId="1" fillId="3" borderId="15" xfId="0" applyFont="1" applyFill="1" applyBorder="1"/>
    <xf numFmtId="0" fontId="1" fillId="3" borderId="8" xfId="0" applyFont="1" applyFill="1" applyBorder="1"/>
    <xf numFmtId="0" fontId="31" fillId="4" borderId="0" xfId="0" applyFont="1" applyFill="1" applyBorder="1"/>
    <xf numFmtId="0" fontId="25" fillId="25" borderId="0" xfId="0" applyFont="1" applyFill="1" applyBorder="1"/>
    <xf numFmtId="0" fontId="1" fillId="25" borderId="0" xfId="0" applyFont="1" applyFill="1" applyBorder="1"/>
    <xf numFmtId="0" fontId="16" fillId="25" borderId="0" xfId="0" applyFont="1" applyFill="1" applyBorder="1"/>
    <xf numFmtId="0" fontId="3" fillId="25" borderId="0" xfId="0" applyFont="1" applyFill="1" applyBorder="1"/>
    <xf numFmtId="0" fontId="21" fillId="25" borderId="0" xfId="0" applyFont="1" applyFill="1" applyBorder="1"/>
    <xf numFmtId="0" fontId="1" fillId="25" borderId="11" xfId="0" applyFont="1" applyFill="1" applyBorder="1"/>
    <xf numFmtId="0" fontId="1" fillId="0" borderId="65" xfId="0" applyFont="1" applyFill="1" applyBorder="1"/>
    <xf numFmtId="0" fontId="3" fillId="25" borderId="66" xfId="0" applyFont="1" applyFill="1" applyBorder="1"/>
    <xf numFmtId="0" fontId="12" fillId="4" borderId="8" xfId="0" applyFont="1" applyFill="1" applyBorder="1"/>
    <xf numFmtId="0" fontId="4" fillId="8" borderId="0" xfId="0" applyFont="1" applyFill="1" applyBorder="1"/>
    <xf numFmtId="0" fontId="8" fillId="0" borderId="0" xfId="0" applyFont="1" applyBorder="1"/>
    <xf numFmtId="0" fontId="1" fillId="26" borderId="0" xfId="0" applyFont="1" applyFill="1" applyBorder="1"/>
    <xf numFmtId="0" fontId="1" fillId="26" borderId="6" xfId="0" applyFont="1" applyFill="1" applyBorder="1"/>
    <xf numFmtId="0" fontId="12" fillId="8" borderId="10" xfId="0" applyFont="1" applyFill="1" applyBorder="1"/>
    <xf numFmtId="0" fontId="1" fillId="0" borderId="17" xfId="0" applyFont="1" applyBorder="1"/>
    <xf numFmtId="0" fontId="8" fillId="0" borderId="7" xfId="0" applyFont="1" applyBorder="1"/>
    <xf numFmtId="0" fontId="1" fillId="0" borderId="11" xfId="0" applyFont="1" applyBorder="1"/>
    <xf numFmtId="0" fontId="8" fillId="0" borderId="2" xfId="0" applyFont="1" applyBorder="1"/>
    <xf numFmtId="0" fontId="4" fillId="3" borderId="16" xfId="0" applyFont="1" applyFill="1" applyBorder="1"/>
    <xf numFmtId="0" fontId="1" fillId="0" borderId="1" xfId="0" applyFont="1" applyBorder="1"/>
    <xf numFmtId="0" fontId="4" fillId="3" borderId="8" xfId="0" applyFont="1" applyFill="1" applyBorder="1"/>
    <xf numFmtId="0" fontId="4" fillId="3" borderId="0" xfId="0" applyFont="1" applyFill="1"/>
    <xf numFmtId="0" fontId="14" fillId="3" borderId="0" xfId="0" applyFont="1" applyFill="1"/>
    <xf numFmtId="0" fontId="1" fillId="12" borderId="0" xfId="0" applyFont="1" applyFill="1"/>
    <xf numFmtId="0" fontId="1" fillId="19" borderId="0" xfId="0" applyFont="1" applyFill="1" applyBorder="1"/>
    <xf numFmtId="0" fontId="12" fillId="0" borderId="0" xfId="0" applyFont="1" applyBorder="1"/>
    <xf numFmtId="0" fontId="4" fillId="12" borderId="0" xfId="0" applyFont="1" applyFill="1"/>
    <xf numFmtId="0" fontId="1" fillId="14" borderId="0" xfId="0" applyFont="1" applyFill="1"/>
    <xf numFmtId="0" fontId="45" fillId="14" borderId="0" xfId="0" applyFont="1" applyFill="1"/>
    <xf numFmtId="0" fontId="1" fillId="14" borderId="0" xfId="0" applyFont="1" applyFill="1" applyBorder="1"/>
    <xf numFmtId="0" fontId="13" fillId="14" borderId="0" xfId="0" applyFont="1" applyFill="1"/>
    <xf numFmtId="0" fontId="1" fillId="9" borderId="0" xfId="0" applyFont="1" applyFill="1" applyBorder="1"/>
    <xf numFmtId="0" fontId="1" fillId="2" borderId="10" xfId="0" applyFont="1" applyFill="1" applyBorder="1"/>
    <xf numFmtId="0" fontId="4" fillId="0" borderId="13" xfId="0" applyFont="1" applyBorder="1"/>
    <xf numFmtId="0" fontId="13" fillId="0" borderId="10" xfId="0" applyFont="1" applyBorder="1"/>
    <xf numFmtId="0" fontId="4" fillId="0" borderId="0" xfId="0" applyFont="1" applyBorder="1"/>
    <xf numFmtId="0" fontId="1" fillId="18" borderId="0" xfId="0" applyFont="1" applyFill="1" applyBorder="1"/>
    <xf numFmtId="0" fontId="1" fillId="8" borderId="0" xfId="0" applyFont="1" applyFill="1" applyBorder="1"/>
    <xf numFmtId="0" fontId="1" fillId="5" borderId="10" xfId="0" applyFont="1" applyFill="1" applyBorder="1"/>
    <xf numFmtId="0" fontId="1" fillId="27" borderId="0" xfId="0" applyFont="1" applyFill="1" applyBorder="1"/>
    <xf numFmtId="0" fontId="44" fillId="14" borderId="0" xfId="0" applyFont="1" applyFill="1"/>
    <xf numFmtId="0" fontId="18" fillId="16" borderId="0" xfId="0" applyFont="1" applyFill="1"/>
    <xf numFmtId="0" fontId="1" fillId="16" borderId="0" xfId="0" applyFont="1" applyFill="1" applyBorder="1"/>
    <xf numFmtId="0" fontId="31" fillId="14" borderId="0" xfId="0" applyFont="1" applyFill="1"/>
    <xf numFmtId="0" fontId="28" fillId="0" borderId="0" xfId="0" applyFont="1"/>
    <xf numFmtId="0" fontId="1" fillId="28" borderId="0" xfId="0" applyFont="1" applyFill="1"/>
    <xf numFmtId="0" fontId="8" fillId="29" borderId="0" xfId="0" applyFont="1" applyFill="1" applyBorder="1"/>
    <xf numFmtId="0" fontId="17" fillId="0" borderId="0" xfId="0" applyFont="1"/>
    <xf numFmtId="0" fontId="1" fillId="20" borderId="0" xfId="0" applyFont="1" applyFill="1"/>
    <xf numFmtId="0" fontId="44" fillId="2" borderId="0" xfId="0" applyFont="1" applyFill="1"/>
    <xf numFmtId="0" fontId="19" fillId="2" borderId="0" xfId="0" applyFont="1" applyFill="1"/>
    <xf numFmtId="0" fontId="18" fillId="4" borderId="0" xfId="0" applyFont="1" applyFill="1"/>
    <xf numFmtId="2" fontId="29" fillId="3" borderId="12" xfId="0" applyNumberFormat="1" applyFont="1" applyFill="1" applyBorder="1"/>
    <xf numFmtId="165" fontId="1" fillId="3" borderId="5" xfId="0" applyNumberFormat="1" applyFont="1" applyFill="1" applyBorder="1"/>
    <xf numFmtId="1" fontId="1" fillId="3" borderId="5" xfId="0" applyNumberFormat="1" applyFont="1" applyFill="1" applyBorder="1"/>
    <xf numFmtId="1" fontId="16" fillId="23" borderId="20" xfId="0" applyNumberFormat="1" applyFont="1" applyFill="1" applyBorder="1"/>
    <xf numFmtId="2" fontId="24" fillId="23" borderId="28" xfId="0" applyNumberFormat="1" applyFont="1" applyFill="1" applyBorder="1"/>
    <xf numFmtId="166" fontId="16" fillId="23" borderId="23" xfId="0" applyNumberFormat="1" applyFont="1" applyFill="1" applyBorder="1"/>
    <xf numFmtId="0" fontId="12" fillId="22" borderId="0" xfId="0" applyFont="1" applyFill="1" applyBorder="1"/>
    <xf numFmtId="165" fontId="16" fillId="23" borderId="20" xfId="0" applyNumberFormat="1" applyFont="1" applyFill="1" applyBorder="1"/>
    <xf numFmtId="1" fontId="1" fillId="0" borderId="48" xfId="0" applyNumberFormat="1" applyFont="1" applyBorder="1"/>
    <xf numFmtId="2" fontId="29" fillId="0" borderId="52" xfId="0" applyNumberFormat="1" applyFont="1" applyBorder="1"/>
    <xf numFmtId="165" fontId="1" fillId="0" borderId="48" xfId="0" applyNumberFormat="1" applyFont="1" applyBorder="1"/>
    <xf numFmtId="0" fontId="12" fillId="0" borderId="35" xfId="0" applyFont="1" applyBorder="1"/>
    <xf numFmtId="0" fontId="13" fillId="0" borderId="0" xfId="0" applyFont="1"/>
    <xf numFmtId="0" fontId="14" fillId="0" borderId="0" xfId="0" applyFont="1"/>
    <xf numFmtId="0" fontId="13" fillId="0" borderId="67" xfId="0" applyFont="1" applyBorder="1"/>
    <xf numFmtId="0" fontId="14" fillId="0" borderId="68" xfId="0" applyFont="1" applyBorder="1"/>
    <xf numFmtId="0" fontId="1" fillId="18" borderId="10" xfId="0" applyFont="1" applyFill="1" applyBorder="1"/>
    <xf numFmtId="0" fontId="1" fillId="0" borderId="69" xfId="0" applyFont="1" applyBorder="1"/>
    <xf numFmtId="0" fontId="15" fillId="0" borderId="11" xfId="0" applyFont="1" applyBorder="1"/>
    <xf numFmtId="0" fontId="1" fillId="19" borderId="70" xfId="0" applyFont="1" applyFill="1" applyBorder="1"/>
    <xf numFmtId="0" fontId="1" fillId="0" borderId="71" xfId="0" applyFont="1" applyBorder="1"/>
    <xf numFmtId="0" fontId="3" fillId="0" borderId="12" xfId="0" applyFont="1" applyBorder="1"/>
    <xf numFmtId="0" fontId="1" fillId="19" borderId="72" xfId="0" applyFont="1" applyFill="1" applyBorder="1"/>
    <xf numFmtId="0" fontId="1" fillId="0" borderId="73" xfId="0" applyFont="1" applyBorder="1"/>
    <xf numFmtId="0" fontId="1" fillId="6" borderId="72" xfId="0" applyFont="1" applyFill="1" applyBorder="1"/>
    <xf numFmtId="0" fontId="1" fillId="0" borderId="74" xfId="0" applyFont="1" applyBorder="1"/>
    <xf numFmtId="0" fontId="3" fillId="0" borderId="13" xfId="0" applyFont="1" applyBorder="1"/>
    <xf numFmtId="0" fontId="1" fillId="6" borderId="75" xfId="0" applyFont="1" applyFill="1" applyBorder="1"/>
    <xf numFmtId="0" fontId="3" fillId="0" borderId="73" xfId="0" applyFont="1" applyBorder="1"/>
    <xf numFmtId="0" fontId="14" fillId="0" borderId="67" xfId="0" applyFont="1" applyBorder="1"/>
    <xf numFmtId="0" fontId="1" fillId="0" borderId="76" xfId="0" applyFont="1" applyBorder="1"/>
    <xf numFmtId="0" fontId="15" fillId="0" borderId="77" xfId="0" applyFont="1" applyBorder="1"/>
    <xf numFmtId="0" fontId="15" fillId="0" borderId="78" xfId="0" applyFont="1" applyBorder="1"/>
    <xf numFmtId="0" fontId="15" fillId="0" borderId="79" xfId="0" applyFont="1" applyBorder="1"/>
    <xf numFmtId="0" fontId="3" fillId="0" borderId="0" xfId="0" applyFont="1" applyBorder="1"/>
    <xf numFmtId="0" fontId="1" fillId="21" borderId="80" xfId="0" applyFont="1" applyFill="1" applyBorder="1"/>
    <xf numFmtId="0" fontId="1" fillId="29" borderId="0" xfId="0" applyFont="1" applyFill="1" applyBorder="1"/>
    <xf numFmtId="0" fontId="15" fillId="0" borderId="0" xfId="0" applyFont="1" applyBorder="1"/>
    <xf numFmtId="0" fontId="1" fillId="2" borderId="10" xfId="0" applyNumberFormat="1" applyFont="1" applyFill="1" applyBorder="1"/>
    <xf numFmtId="0" fontId="1" fillId="19" borderId="6" xfId="0" applyFont="1" applyFill="1" applyBorder="1"/>
    <xf numFmtId="0" fontId="12" fillId="0" borderId="0" xfId="0" applyFont="1"/>
    <xf numFmtId="0" fontId="12" fillId="19" borderId="0" xfId="0" applyFont="1" applyFill="1"/>
    <xf numFmtId="0" fontId="1" fillId="0" borderId="81" xfId="0" applyFont="1" applyFill="1" applyBorder="1"/>
    <xf numFmtId="0" fontId="1" fillId="0" borderId="82" xfId="0" applyFont="1" applyFill="1" applyBorder="1"/>
    <xf numFmtId="0" fontId="12" fillId="0" borderId="0" xfId="0" applyFont="1" applyFill="1"/>
    <xf numFmtId="0" fontId="1" fillId="21" borderId="0" xfId="0" applyFont="1" applyFill="1"/>
    <xf numFmtId="0" fontId="12" fillId="2" borderId="10" xfId="0" applyFont="1" applyFill="1" applyBorder="1"/>
    <xf numFmtId="0" fontId="19" fillId="14" borderId="0" xfId="0" applyFont="1" applyFill="1"/>
    <xf numFmtId="0" fontId="1" fillId="6" borderId="65" xfId="0" applyFont="1" applyFill="1" applyBorder="1"/>
    <xf numFmtId="0" fontId="8" fillId="0" borderId="0" xfId="0" applyFont="1"/>
    <xf numFmtId="0" fontId="3" fillId="0" borderId="2" xfId="0" applyFont="1" applyBorder="1"/>
    <xf numFmtId="0" fontId="49" fillId="23" borderId="0" xfId="0" applyFont="1" applyFill="1" applyBorder="1"/>
    <xf numFmtId="0" fontId="49" fillId="23" borderId="11" xfId="0" applyFont="1" applyFill="1" applyBorder="1"/>
    <xf numFmtId="0" fontId="48" fillId="23" borderId="0" xfId="0" applyFont="1" applyFill="1" applyBorder="1"/>
    <xf numFmtId="0" fontId="4" fillId="0" borderId="83" xfId="0" applyFont="1" applyBorder="1"/>
    <xf numFmtId="0" fontId="3" fillId="0" borderId="49" xfId="0" applyFont="1" applyBorder="1"/>
    <xf numFmtId="1" fontId="3" fillId="0" borderId="6" xfId="0" applyNumberFormat="1" applyFont="1" applyBorder="1"/>
    <xf numFmtId="1" fontId="49" fillId="23" borderId="0" xfId="0" applyNumberFormat="1" applyFont="1" applyFill="1" applyBorder="1"/>
    <xf numFmtId="0" fontId="1" fillId="0" borderId="53" xfId="0" applyFont="1" applyBorder="1"/>
    <xf numFmtId="0" fontId="31" fillId="23" borderId="0" xfId="0" applyFont="1" applyFill="1"/>
    <xf numFmtId="0" fontId="21" fillId="23" borderId="63" xfId="0" applyFont="1" applyFill="1" applyBorder="1"/>
    <xf numFmtId="22" fontId="1" fillId="6" borderId="6" xfId="0" applyNumberFormat="1" applyFont="1" applyFill="1" applyBorder="1"/>
    <xf numFmtId="22" fontId="1" fillId="0" borderId="0" xfId="0" applyNumberFormat="1" applyFont="1"/>
    <xf numFmtId="0" fontId="31" fillId="23" borderId="63" xfId="0" applyFont="1" applyFill="1" applyBorder="1"/>
    <xf numFmtId="0" fontId="16" fillId="0" borderId="12" xfId="0" applyFont="1" applyBorder="1"/>
    <xf numFmtId="0" fontId="1" fillId="0" borderId="84" xfId="0" applyFont="1" applyBorder="1"/>
    <xf numFmtId="0" fontId="1" fillId="0" borderId="85" xfId="0" applyFont="1" applyBorder="1"/>
    <xf numFmtId="0" fontId="1" fillId="8" borderId="10" xfId="0" applyFont="1" applyFill="1" applyBorder="1"/>
    <xf numFmtId="0" fontId="1" fillId="9" borderId="16" xfId="0" applyFont="1" applyFill="1" applyBorder="1"/>
    <xf numFmtId="167" fontId="1" fillId="0" borderId="6" xfId="0" applyNumberFormat="1" applyFont="1" applyBorder="1"/>
    <xf numFmtId="0" fontId="13" fillId="0" borderId="0" xfId="0" applyFont="1" applyFill="1" applyBorder="1"/>
    <xf numFmtId="0" fontId="15" fillId="0" borderId="9" xfId="0" applyFont="1" applyBorder="1"/>
    <xf numFmtId="0" fontId="12" fillId="0" borderId="10" xfId="0" applyFont="1" applyBorder="1"/>
    <xf numFmtId="0" fontId="12" fillId="0" borderId="86" xfId="0" applyFont="1" applyBorder="1"/>
    <xf numFmtId="0" fontId="15" fillId="0" borderId="2" xfId="0" applyFont="1" applyBorder="1"/>
    <xf numFmtId="0" fontId="1" fillId="9" borderId="70" xfId="0" applyFont="1" applyFill="1" applyBorder="1"/>
    <xf numFmtId="0" fontId="16" fillId="0" borderId="0" xfId="0" applyFont="1"/>
    <xf numFmtId="0" fontId="1" fillId="9" borderId="11" xfId="0" applyFont="1" applyFill="1" applyBorder="1"/>
    <xf numFmtId="0" fontId="50" fillId="4" borderId="87" xfId="0" applyFont="1" applyFill="1" applyBorder="1"/>
    <xf numFmtId="0" fontId="1" fillId="4" borderId="88" xfId="0" applyFont="1" applyFill="1" applyBorder="1"/>
    <xf numFmtId="0" fontId="3" fillId="4" borderId="87" xfId="0" applyFont="1" applyFill="1" applyBorder="1"/>
    <xf numFmtId="0" fontId="1" fillId="4" borderId="87" xfId="0" applyFont="1" applyFill="1" applyBorder="1"/>
    <xf numFmtId="0" fontId="3" fillId="4" borderId="89" xfId="0" applyFont="1" applyFill="1" applyBorder="1"/>
    <xf numFmtId="0" fontId="45" fillId="4" borderId="90" xfId="0" applyFont="1" applyFill="1" applyBorder="1"/>
    <xf numFmtId="0" fontId="1" fillId="4" borderId="91" xfId="0" applyFont="1" applyFill="1" applyBorder="1"/>
    <xf numFmtId="0" fontId="1" fillId="4" borderId="92" xfId="0" applyFont="1" applyFill="1" applyBorder="1"/>
    <xf numFmtId="0" fontId="1" fillId="4" borderId="93" xfId="0" applyFont="1" applyFill="1" applyBorder="1"/>
    <xf numFmtId="0" fontId="48" fillId="4" borderId="10" xfId="0" applyFont="1" applyFill="1" applyBorder="1"/>
    <xf numFmtId="0" fontId="1" fillId="4" borderId="94" xfId="0" applyFont="1" applyFill="1" applyBorder="1"/>
    <xf numFmtId="0" fontId="49" fillId="4" borderId="10" xfId="0" applyFont="1" applyFill="1" applyBorder="1"/>
    <xf numFmtId="0" fontId="45" fillId="4" borderId="69" xfId="0" applyFont="1" applyFill="1" applyBorder="1"/>
    <xf numFmtId="0" fontId="45" fillId="4" borderId="0" xfId="0" applyFont="1" applyFill="1" applyBorder="1"/>
    <xf numFmtId="0" fontId="1" fillId="4" borderId="95" xfId="0" applyFont="1" applyFill="1" applyBorder="1"/>
    <xf numFmtId="0" fontId="12" fillId="2" borderId="6" xfId="0" applyFont="1" applyFill="1" applyBorder="1"/>
    <xf numFmtId="0" fontId="1" fillId="4" borderId="96" xfId="0" applyFont="1" applyFill="1" applyBorder="1"/>
    <xf numFmtId="0" fontId="49" fillId="4" borderId="97" xfId="0" applyFont="1" applyFill="1" applyBorder="1"/>
    <xf numFmtId="0" fontId="45" fillId="4" borderId="12" xfId="0" applyFont="1" applyFill="1" applyBorder="1"/>
    <xf numFmtId="0" fontId="1" fillId="4" borderId="98" xfId="0" applyFont="1" applyFill="1" applyBorder="1"/>
    <xf numFmtId="0" fontId="3" fillId="0" borderId="0" xfId="0" applyFont="1"/>
    <xf numFmtId="0" fontId="15" fillId="0" borderId="7" xfId="0" applyFont="1" applyBorder="1"/>
    <xf numFmtId="0" fontId="48" fillId="4" borderId="99" xfId="0" applyFont="1" applyFill="1" applyBorder="1"/>
    <xf numFmtId="0" fontId="8" fillId="0" borderId="9" xfId="0" applyFont="1" applyBorder="1"/>
    <xf numFmtId="0" fontId="15" fillId="0" borderId="17" xfId="0" applyFont="1" applyBorder="1"/>
    <xf numFmtId="0" fontId="3" fillId="0" borderId="17" xfId="0" applyFont="1" applyBorder="1"/>
    <xf numFmtId="0" fontId="3" fillId="0" borderId="9" xfId="0" applyFont="1" applyBorder="1"/>
    <xf numFmtId="0" fontId="16" fillId="0" borderId="11" xfId="0" applyFont="1" applyBorder="1"/>
    <xf numFmtId="0" fontId="16" fillId="0" borderId="7" xfId="0" applyFont="1" applyBorder="1"/>
    <xf numFmtId="0" fontId="8" fillId="0" borderId="6" xfId="0" applyFont="1" applyBorder="1"/>
    <xf numFmtId="0" fontId="22" fillId="4" borderId="2" xfId="0" applyFont="1" applyFill="1" applyBorder="1"/>
    <xf numFmtId="0" fontId="16" fillId="4" borderId="15" xfId="0" applyFont="1" applyFill="1" applyBorder="1"/>
    <xf numFmtId="0" fontId="14" fillId="4" borderId="63" xfId="0" applyFont="1" applyFill="1" applyBorder="1"/>
    <xf numFmtId="0" fontId="1" fillId="4" borderId="100" xfId="0" applyFont="1" applyFill="1" applyBorder="1"/>
    <xf numFmtId="0" fontId="16" fillId="0" borderId="2" xfId="0" applyFont="1" applyBorder="1"/>
    <xf numFmtId="0" fontId="17" fillId="4" borderId="96" xfId="0" applyFont="1" applyFill="1" applyBorder="1"/>
    <xf numFmtId="0" fontId="4" fillId="4" borderId="6" xfId="0" applyFont="1" applyFill="1" applyBorder="1"/>
    <xf numFmtId="0" fontId="4" fillId="4" borderId="9" xfId="0" applyFont="1" applyFill="1" applyBorder="1"/>
    <xf numFmtId="0" fontId="16" fillId="4" borderId="4" xfId="0" applyFont="1" applyFill="1" applyBorder="1"/>
    <xf numFmtId="0" fontId="12" fillId="4" borderId="12" xfId="0" applyFont="1" applyFill="1" applyBorder="1"/>
    <xf numFmtId="0" fontId="1" fillId="4" borderId="101" xfId="0" applyFont="1" applyFill="1" applyBorder="1"/>
    <xf numFmtId="0" fontId="45" fillId="0" borderId="0" xfId="0" applyFont="1" applyFill="1" applyBorder="1"/>
    <xf numFmtId="0" fontId="3" fillId="4" borderId="96" xfId="0" applyFont="1" applyFill="1" applyBorder="1"/>
    <xf numFmtId="0" fontId="49" fillId="4" borderId="6" xfId="0" applyFont="1" applyFill="1" applyBorder="1"/>
    <xf numFmtId="0" fontId="31" fillId="4" borderId="63" xfId="0" applyFont="1" applyFill="1" applyBorder="1"/>
    <xf numFmtId="0" fontId="16" fillId="4" borderId="5" xfId="0" applyFont="1" applyFill="1" applyBorder="1"/>
    <xf numFmtId="0" fontId="1" fillId="0" borderId="102" xfId="0" applyFont="1" applyFill="1" applyBorder="1"/>
    <xf numFmtId="0" fontId="31" fillId="4" borderId="103" xfId="0" applyFont="1" applyFill="1" applyBorder="1"/>
    <xf numFmtId="0" fontId="1" fillId="30" borderId="0" xfId="0" applyFont="1" applyFill="1"/>
    <xf numFmtId="165" fontId="48" fillId="4" borderId="10" xfId="0" applyNumberFormat="1" applyFont="1" applyFill="1" applyBorder="1"/>
    <xf numFmtId="0" fontId="49" fillId="4" borderId="9" xfId="0" applyFont="1" applyFill="1" applyBorder="1"/>
    <xf numFmtId="0" fontId="15" fillId="4" borderId="104" xfId="0" applyFont="1" applyFill="1" applyBorder="1"/>
    <xf numFmtId="0" fontId="45" fillId="2" borderId="10" xfId="0" applyFont="1" applyFill="1" applyBorder="1"/>
    <xf numFmtId="0" fontId="51" fillId="4" borderId="6" xfId="0" applyFont="1" applyFill="1" applyBorder="1"/>
    <xf numFmtId="0" fontId="4" fillId="4" borderId="2" xfId="0" applyFont="1" applyFill="1" applyBorder="1"/>
    <xf numFmtId="0" fontId="16" fillId="4" borderId="3" xfId="0" applyFont="1" applyFill="1" applyBorder="1"/>
    <xf numFmtId="0" fontId="3" fillId="4" borderId="105" xfId="0" applyFont="1" applyFill="1" applyBorder="1"/>
    <xf numFmtId="0" fontId="3" fillId="4" borderId="106" xfId="0" applyFont="1" applyFill="1" applyBorder="1"/>
    <xf numFmtId="0" fontId="16" fillId="0" borderId="0" xfId="0" applyFont="1" applyBorder="1"/>
    <xf numFmtId="0" fontId="4" fillId="0" borderId="6" xfId="0" applyFont="1" applyFill="1" applyBorder="1"/>
    <xf numFmtId="0" fontId="1" fillId="31" borderId="0" xfId="0" applyFont="1" applyFill="1"/>
    <xf numFmtId="0" fontId="17" fillId="4" borderId="6" xfId="0" applyFont="1" applyFill="1" applyBorder="1"/>
    <xf numFmtId="0" fontId="16" fillId="4" borderId="107" xfId="0" applyFont="1" applyFill="1" applyBorder="1"/>
    <xf numFmtId="0" fontId="16" fillId="4" borderId="108" xfId="0" applyFont="1" applyFill="1" applyBorder="1"/>
    <xf numFmtId="0" fontId="16" fillId="4" borderId="109" xfId="0" applyFont="1" applyFill="1" applyBorder="1"/>
    <xf numFmtId="0" fontId="16" fillId="4" borderId="110" xfId="0" applyFont="1" applyFill="1" applyBorder="1"/>
    <xf numFmtId="0" fontId="3" fillId="4" borderId="111" xfId="0" applyFont="1" applyFill="1" applyBorder="1"/>
    <xf numFmtId="0" fontId="48" fillId="13" borderId="10" xfId="0" applyFont="1" applyFill="1" applyBorder="1"/>
    <xf numFmtId="0" fontId="31" fillId="4" borderId="50" xfId="0" applyFont="1" applyFill="1" applyBorder="1"/>
    <xf numFmtId="0" fontId="16" fillId="4" borderId="112" xfId="0" applyFont="1" applyFill="1" applyBorder="1"/>
    <xf numFmtId="0" fontId="1" fillId="10" borderId="6" xfId="0" applyFont="1" applyFill="1" applyBorder="1"/>
    <xf numFmtId="0" fontId="16" fillId="9" borderId="0" xfId="0" applyFont="1" applyFill="1"/>
    <xf numFmtId="0" fontId="52" fillId="4" borderId="7" xfId="0" applyFont="1" applyFill="1" applyBorder="1"/>
    <xf numFmtId="0" fontId="1" fillId="4" borderId="7" xfId="0" applyFont="1" applyFill="1" applyBorder="1"/>
    <xf numFmtId="0" fontId="16" fillId="4" borderId="113" xfId="0" applyFont="1" applyFill="1" applyBorder="1"/>
    <xf numFmtId="0" fontId="1" fillId="4" borderId="4" xfId="0" applyFont="1" applyFill="1" applyBorder="1"/>
    <xf numFmtId="0" fontId="12" fillId="0" borderId="114" xfId="0" applyFont="1" applyBorder="1"/>
    <xf numFmtId="0" fontId="4" fillId="4" borderId="111" xfId="0" applyFont="1" applyFill="1" applyBorder="1"/>
    <xf numFmtId="0" fontId="49" fillId="4" borderId="115" xfId="0" applyFont="1" applyFill="1" applyBorder="1"/>
    <xf numFmtId="1" fontId="45" fillId="4" borderId="116" xfId="0" applyNumberFormat="1" applyFont="1" applyFill="1" applyBorder="1"/>
    <xf numFmtId="0" fontId="49" fillId="4" borderId="116" xfId="0" applyFont="1" applyFill="1" applyBorder="1"/>
    <xf numFmtId="0" fontId="49" fillId="4" borderId="117" xfId="0" applyFont="1" applyFill="1" applyBorder="1"/>
    <xf numFmtId="0" fontId="16" fillId="4" borderId="118" xfId="0" applyFont="1" applyFill="1" applyBorder="1"/>
    <xf numFmtId="0" fontId="3" fillId="4" borderId="5" xfId="0" applyFont="1" applyFill="1" applyBorder="1"/>
    <xf numFmtId="0" fontId="3" fillId="4" borderId="50" xfId="0" applyFont="1" applyFill="1" applyBorder="1"/>
    <xf numFmtId="0" fontId="1" fillId="4" borderId="119" xfId="0" applyFont="1" applyFill="1" applyBorder="1"/>
    <xf numFmtId="0" fontId="3" fillId="4" borderId="12" xfId="0" applyFont="1" applyFill="1" applyBorder="1"/>
    <xf numFmtId="0" fontId="1" fillId="0" borderId="0" xfId="0" applyNumberFormat="1" applyFont="1"/>
    <xf numFmtId="0" fontId="49" fillId="4" borderId="7" xfId="0" applyFont="1" applyFill="1" applyBorder="1"/>
    <xf numFmtId="0" fontId="15" fillId="0" borderId="12" xfId="0" applyFont="1" applyBorder="1"/>
    <xf numFmtId="20" fontId="1" fillId="0" borderId="0" xfId="0" applyNumberFormat="1" applyFont="1"/>
    <xf numFmtId="0" fontId="16" fillId="4" borderId="120" xfId="0" applyFont="1" applyFill="1" applyBorder="1"/>
    <xf numFmtId="0" fontId="16" fillId="4" borderId="121" xfId="0" applyFont="1" applyFill="1" applyBorder="1"/>
    <xf numFmtId="0" fontId="8" fillId="9" borderId="6" xfId="0" applyFont="1" applyFill="1" applyBorder="1"/>
    <xf numFmtId="0" fontId="15" fillId="9" borderId="6" xfId="0" applyFont="1" applyFill="1" applyBorder="1"/>
    <xf numFmtId="0" fontId="3" fillId="9" borderId="6" xfId="0" applyFont="1" applyFill="1" applyBorder="1"/>
    <xf numFmtId="0" fontId="16" fillId="9" borderId="6" xfId="0" applyFont="1" applyFill="1" applyBorder="1"/>
    <xf numFmtId="0" fontId="4" fillId="4" borderId="96" xfId="0" applyFont="1" applyFill="1" applyBorder="1"/>
    <xf numFmtId="165" fontId="49" fillId="4" borderId="10" xfId="0" applyNumberFormat="1" applyFont="1" applyFill="1" applyBorder="1"/>
    <xf numFmtId="0" fontId="1" fillId="4" borderId="122" xfId="0" applyFont="1" applyFill="1" applyBorder="1"/>
    <xf numFmtId="0" fontId="3" fillId="4" borderId="9" xfId="0" applyFont="1" applyFill="1" applyBorder="1"/>
    <xf numFmtId="14" fontId="1" fillId="0" borderId="0" xfId="0" applyNumberFormat="1" applyFont="1"/>
    <xf numFmtId="0" fontId="1" fillId="4" borderId="123" xfId="0" applyFont="1" applyFill="1" applyBorder="1"/>
    <xf numFmtId="0" fontId="1" fillId="4" borderId="124" xfId="0" applyFont="1" applyFill="1" applyBorder="1"/>
    <xf numFmtId="0" fontId="1" fillId="4" borderId="125" xfId="0" applyFont="1" applyFill="1" applyBorder="1"/>
    <xf numFmtId="0" fontId="1" fillId="0" borderId="7" xfId="0" applyNumberFormat="1" applyFont="1" applyBorder="1"/>
    <xf numFmtId="14" fontId="16" fillId="0" borderId="0" xfId="0" applyNumberFormat="1" applyFont="1"/>
    <xf numFmtId="0" fontId="1" fillId="32" borderId="0" xfId="0" applyFont="1" applyFill="1"/>
    <xf numFmtId="0" fontId="1" fillId="4" borderId="126" xfId="0" applyFont="1" applyFill="1" applyBorder="1"/>
    <xf numFmtId="0" fontId="1" fillId="4" borderId="50" xfId="0" applyFont="1" applyFill="1" applyBorder="1"/>
    <xf numFmtId="0" fontId="1" fillId="4" borderId="127" xfId="0" applyFont="1" applyFill="1" applyBorder="1"/>
    <xf numFmtId="0" fontId="1" fillId="4" borderId="128" xfId="0" applyFont="1" applyFill="1" applyBorder="1"/>
    <xf numFmtId="0" fontId="1" fillId="4" borderId="129" xfId="0" applyFont="1" applyFill="1" applyBorder="1"/>
    <xf numFmtId="0" fontId="3" fillId="4" borderId="2" xfId="0" applyFont="1" applyFill="1" applyBorder="1"/>
    <xf numFmtId="0" fontId="12" fillId="0" borderId="115" xfId="0" applyFont="1" applyBorder="1"/>
    <xf numFmtId="0" fontId="14" fillId="14" borderId="0" xfId="0" applyFont="1" applyFill="1"/>
    <xf numFmtId="0" fontId="4" fillId="9" borderId="0" xfId="0" applyFont="1" applyFill="1"/>
    <xf numFmtId="0" fontId="4" fillId="0" borderId="0" xfId="0" applyFont="1" applyFill="1" applyBorder="1"/>
    <xf numFmtId="0" fontId="15" fillId="0" borderId="0" xfId="0" applyFont="1" applyFill="1" applyBorder="1"/>
    <xf numFmtId="0" fontId="1" fillId="0" borderId="130" xfId="0" applyFont="1" applyBorder="1"/>
    <xf numFmtId="0" fontId="1" fillId="0" borderId="87" xfId="0" applyFont="1" applyBorder="1"/>
    <xf numFmtId="0" fontId="1" fillId="0" borderId="131" xfId="0" applyFont="1" applyBorder="1"/>
    <xf numFmtId="0" fontId="1" fillId="0" borderId="132" xfId="0" applyFont="1" applyBorder="1"/>
    <xf numFmtId="0" fontId="1" fillId="0" borderId="133" xfId="0" applyFont="1" applyBorder="1"/>
    <xf numFmtId="0" fontId="1" fillId="0" borderId="101" xfId="0" applyFont="1" applyBorder="1"/>
    <xf numFmtId="0" fontId="1" fillId="0" borderId="96" xfId="0" applyFont="1" applyBorder="1"/>
    <xf numFmtId="0" fontId="1" fillId="0" borderId="4" xfId="0" applyFont="1" applyBorder="1"/>
    <xf numFmtId="165" fontId="1" fillId="0" borderId="10" xfId="0" applyNumberFormat="1" applyFont="1" applyBorder="1"/>
    <xf numFmtId="0" fontId="1" fillId="0" borderId="134" xfId="0" applyFont="1" applyBorder="1"/>
    <xf numFmtId="0" fontId="1" fillId="0" borderId="98" xfId="0" applyFont="1" applyBorder="1"/>
    <xf numFmtId="0" fontId="1" fillId="0" borderId="135" xfId="0" applyFont="1" applyBorder="1"/>
    <xf numFmtId="0" fontId="1" fillId="0" borderId="136" xfId="0" applyFont="1" applyBorder="1"/>
    <xf numFmtId="0" fontId="1" fillId="0" borderId="137" xfId="0" applyFont="1" applyBorder="1"/>
    <xf numFmtId="0" fontId="1" fillId="0" borderId="138" xfId="0" applyFont="1" applyBorder="1"/>
    <xf numFmtId="0" fontId="1" fillId="0" borderId="111" xfId="0" applyFont="1" applyBorder="1"/>
    <xf numFmtId="0" fontId="12" fillId="8" borderId="0" xfId="0" applyFont="1" applyFill="1"/>
    <xf numFmtId="0" fontId="1" fillId="0" borderId="139" xfId="0" applyFont="1" applyBorder="1"/>
    <xf numFmtId="1" fontId="1" fillId="0" borderId="140" xfId="0" applyNumberFormat="1" applyFont="1" applyBorder="1"/>
    <xf numFmtId="0" fontId="1" fillId="0" borderId="140" xfId="0" applyFont="1" applyBorder="1"/>
    <xf numFmtId="0" fontId="1" fillId="0" borderId="141" xfId="0" applyFont="1" applyBorder="1"/>
    <xf numFmtId="0" fontId="20" fillId="0" borderId="0" xfId="0" applyFont="1"/>
    <xf numFmtId="0" fontId="1" fillId="0" borderId="127" xfId="0" applyFont="1" applyBorder="1"/>
    <xf numFmtId="0" fontId="1" fillId="0" borderId="128" xfId="0" applyFont="1" applyBorder="1"/>
    <xf numFmtId="0" fontId="1" fillId="0" borderId="143" xfId="0" applyFont="1" applyBorder="1"/>
    <xf numFmtId="0" fontId="1" fillId="0" borderId="144" xfId="0" applyFont="1" applyBorder="1"/>
    <xf numFmtId="0" fontId="12" fillId="0" borderId="7" xfId="0" applyFont="1" applyBorder="1"/>
    <xf numFmtId="0" fontId="49" fillId="0" borderId="7" xfId="0" applyFont="1" applyBorder="1"/>
    <xf numFmtId="0" fontId="45" fillId="0" borderId="0" xfId="0" applyFont="1"/>
    <xf numFmtId="0" fontId="19" fillId="0" borderId="0" xfId="0" applyFont="1" applyFill="1"/>
    <xf numFmtId="0" fontId="8" fillId="8" borderId="6" xfId="0" applyFont="1" applyFill="1" applyBorder="1"/>
    <xf numFmtId="0" fontId="49" fillId="0" borderId="0" xfId="0" applyFont="1"/>
    <xf numFmtId="0" fontId="48" fillId="8" borderId="76" xfId="0" applyFont="1" applyFill="1" applyBorder="1"/>
    <xf numFmtId="0" fontId="1" fillId="11" borderId="77" xfId="0" applyFont="1" applyFill="1" applyBorder="1"/>
    <xf numFmtId="0" fontId="49" fillId="8" borderId="145" xfId="0" applyFont="1" applyFill="1" applyBorder="1"/>
    <xf numFmtId="0" fontId="17" fillId="4" borderId="9" xfId="0" applyFont="1" applyFill="1" applyBorder="1"/>
    <xf numFmtId="0" fontId="1" fillId="4" borderId="146" xfId="0" applyFont="1" applyFill="1" applyBorder="1"/>
    <xf numFmtId="0" fontId="1" fillId="4" borderId="15" xfId="0" applyFont="1" applyFill="1" applyBorder="1"/>
    <xf numFmtId="0" fontId="1" fillId="4" borderId="142" xfId="0" applyFont="1" applyFill="1" applyBorder="1"/>
    <xf numFmtId="0" fontId="14" fillId="4" borderId="0" xfId="0" applyFont="1" applyFill="1" applyBorder="1"/>
    <xf numFmtId="0" fontId="48" fillId="4" borderId="0" xfId="0" applyFont="1" applyFill="1" applyBorder="1"/>
    <xf numFmtId="0" fontId="48" fillId="4" borderId="147" xfId="0" applyFont="1" applyFill="1" applyBorder="1"/>
    <xf numFmtId="0" fontId="48" fillId="13" borderId="147" xfId="0" applyFont="1" applyFill="1" applyBorder="1"/>
    <xf numFmtId="0" fontId="1" fillId="33" borderId="142" xfId="0" applyFont="1" applyFill="1" applyBorder="1"/>
    <xf numFmtId="0" fontId="1" fillId="33" borderId="6" xfId="0" applyFont="1" applyFill="1" applyBorder="1"/>
    <xf numFmtId="0" fontId="1" fillId="33" borderId="0" xfId="0" applyFont="1" applyFill="1" applyBorder="1"/>
    <xf numFmtId="0" fontId="1" fillId="33" borderId="3" xfId="0" applyFont="1" applyFill="1" applyBorder="1"/>
    <xf numFmtId="0" fontId="1" fillId="33" borderId="2" xfId="0" applyFont="1" applyFill="1" applyBorder="1"/>
    <xf numFmtId="0" fontId="1" fillId="33" borderId="50" xfId="0" applyFont="1" applyFill="1" applyBorder="1"/>
    <xf numFmtId="0" fontId="1" fillId="33" borderId="96" xfId="0" applyFont="1" applyFill="1" applyBorder="1"/>
    <xf numFmtId="0" fontId="4" fillId="33" borderId="6" xfId="0" applyFont="1" applyFill="1" applyBorder="1"/>
    <xf numFmtId="0" fontId="1" fillId="33" borderId="111" xfId="0" applyFont="1" applyFill="1" applyBorder="1"/>
    <xf numFmtId="0" fontId="1" fillId="33" borderId="5" xfId="0" applyFont="1" applyFill="1" applyBorder="1"/>
    <xf numFmtId="0" fontId="4" fillId="33" borderId="9" xfId="0" applyFont="1" applyFill="1" applyBorder="1"/>
    <xf numFmtId="0" fontId="4" fillId="0" borderId="4" xfId="0" applyFont="1" applyBorder="1"/>
    <xf numFmtId="0" fontId="1" fillId="0" borderId="148" xfId="0" applyFont="1" applyBorder="1"/>
    <xf numFmtId="0" fontId="4" fillId="0" borderId="149" xfId="0" applyFont="1" applyBorder="1"/>
    <xf numFmtId="0" fontId="1" fillId="0" borderId="149" xfId="0" applyFont="1" applyBorder="1"/>
    <xf numFmtId="0" fontId="12" fillId="0" borderId="17" xfId="0" applyFont="1" applyBorder="1"/>
    <xf numFmtId="0" fontId="1" fillId="0" borderId="150" xfId="0" applyFont="1" applyBorder="1"/>
    <xf numFmtId="0" fontId="46" fillId="0" borderId="149" xfId="0" applyFont="1" applyFill="1" applyBorder="1"/>
    <xf numFmtId="0" fontId="1" fillId="0" borderId="149" xfId="0" applyFont="1" applyFill="1" applyBorder="1"/>
    <xf numFmtId="0" fontId="54" fillId="4" borderId="9" xfId="0" applyFont="1" applyFill="1" applyBorder="1"/>
    <xf numFmtId="0" fontId="54" fillId="4" borderId="149" xfId="0" applyFont="1" applyFill="1" applyBorder="1"/>
    <xf numFmtId="0" fontId="12" fillId="2" borderId="0" xfId="0" applyFont="1" applyFill="1"/>
    <xf numFmtId="0" fontId="1" fillId="2" borderId="11" xfId="0" applyFont="1" applyFill="1" applyBorder="1"/>
    <xf numFmtId="0" fontId="1" fillId="2" borderId="12" xfId="0" applyFont="1" applyFill="1" applyBorder="1"/>
    <xf numFmtId="0" fontId="47" fillId="0" borderId="149" xfId="0" applyFont="1" applyFill="1" applyBorder="1"/>
    <xf numFmtId="0" fontId="1" fillId="0" borderId="151" xfId="0" applyFont="1" applyBorder="1"/>
    <xf numFmtId="0" fontId="1" fillId="0" borderId="35" xfId="0" applyFont="1" applyBorder="1"/>
    <xf numFmtId="0" fontId="1" fillId="0" borderId="152" xfId="0" applyFont="1" applyBorder="1"/>
    <xf numFmtId="165" fontId="1" fillId="0" borderId="149" xfId="0" applyNumberFormat="1" applyFont="1" applyBorder="1"/>
    <xf numFmtId="0" fontId="4" fillId="33" borderId="4" xfId="0" applyFont="1" applyFill="1" applyBorder="1"/>
    <xf numFmtId="0" fontId="4" fillId="33" borderId="149" xfId="0" applyFont="1" applyFill="1" applyBorder="1"/>
    <xf numFmtId="0" fontId="49" fillId="23" borderId="0" xfId="0" applyFont="1" applyFill="1"/>
    <xf numFmtId="0" fontId="13" fillId="0" borderId="15" xfId="0" applyFont="1" applyBorder="1"/>
    <xf numFmtId="0" fontId="1" fillId="34" borderId="0" xfId="0" applyFont="1" applyFill="1" applyBorder="1"/>
    <xf numFmtId="0" fontId="1" fillId="4" borderId="111" xfId="0" applyFont="1" applyFill="1" applyBorder="1"/>
    <xf numFmtId="0" fontId="3" fillId="4" borderId="10" xfId="0" applyFont="1" applyFill="1" applyBorder="1"/>
    <xf numFmtId="0" fontId="49" fillId="23" borderId="8" xfId="0" applyFont="1" applyFill="1" applyBorder="1"/>
    <xf numFmtId="1" fontId="45" fillId="23" borderId="0" xfId="0" applyNumberFormat="1" applyFont="1" applyFill="1" applyBorder="1"/>
    <xf numFmtId="1" fontId="45" fillId="23" borderId="8" xfId="0" applyNumberFormat="1" applyFont="1" applyFill="1" applyBorder="1"/>
    <xf numFmtId="0" fontId="16" fillId="23" borderId="0" xfId="0" applyFont="1" applyFill="1" applyBorder="1"/>
    <xf numFmtId="0" fontId="12" fillId="0" borderId="42" xfId="0" applyFont="1" applyBorder="1"/>
    <xf numFmtId="0" fontId="26" fillId="0" borderId="153" xfId="0" applyFont="1" applyBorder="1"/>
    <xf numFmtId="0" fontId="28" fillId="0" borderId="0" xfId="0" applyFont="1" applyBorder="1"/>
    <xf numFmtId="0" fontId="28" fillId="0" borderId="5" xfId="0" applyFont="1" applyBorder="1"/>
    <xf numFmtId="0" fontId="30" fillId="0" borderId="5" xfId="0" applyFont="1" applyBorder="1"/>
    <xf numFmtId="0" fontId="16" fillId="0" borderId="5" xfId="0" applyFont="1" applyBorder="1"/>
    <xf numFmtId="0" fontId="3" fillId="0" borderId="1" xfId="0" applyFont="1" applyBorder="1"/>
    <xf numFmtId="0" fontId="1" fillId="0" borderId="154" xfId="0" applyFont="1" applyBorder="1"/>
    <xf numFmtId="1" fontId="8" fillId="0" borderId="45" xfId="0" applyNumberFormat="1" applyFont="1" applyBorder="1"/>
    <xf numFmtId="1" fontId="8" fillId="0" borderId="5" xfId="0" applyNumberFormat="1" applyFont="1" applyBorder="1"/>
    <xf numFmtId="0" fontId="12" fillId="0" borderId="51" xfId="0" applyFont="1" applyBorder="1"/>
    <xf numFmtId="0" fontId="16" fillId="0" borderId="155" xfId="0" applyFont="1" applyBorder="1"/>
    <xf numFmtId="0" fontId="14" fillId="0" borderId="156" xfId="0" applyFont="1" applyBorder="1"/>
    <xf numFmtId="0" fontId="12" fillId="0" borderId="157" xfId="0" applyFont="1" applyBorder="1"/>
    <xf numFmtId="0" fontId="1" fillId="0" borderId="158" xfId="0" applyFont="1" applyBorder="1"/>
    <xf numFmtId="0" fontId="1" fillId="4" borderId="159" xfId="0" applyFont="1" applyFill="1" applyBorder="1"/>
    <xf numFmtId="0" fontId="1" fillId="4" borderId="160" xfId="0" applyFont="1" applyFill="1" applyBorder="1"/>
    <xf numFmtId="0" fontId="1" fillId="4" borderId="161" xfId="0" applyFont="1" applyFill="1" applyBorder="1"/>
    <xf numFmtId="0" fontId="21" fillId="23" borderId="0" xfId="0" applyFont="1" applyFill="1" applyBorder="1"/>
    <xf numFmtId="0" fontId="12" fillId="0" borderId="10" xfId="0" applyNumberFormat="1" applyFont="1" applyFill="1" applyBorder="1"/>
    <xf numFmtId="0" fontId="1" fillId="0" borderId="162" xfId="0" applyFont="1" applyFill="1" applyBorder="1"/>
    <xf numFmtId="0" fontId="8" fillId="0" borderId="80" xfId="0" applyFont="1" applyFill="1" applyBorder="1"/>
    <xf numFmtId="0" fontId="1" fillId="0" borderId="80" xfId="0" applyFont="1" applyFill="1" applyBorder="1"/>
    <xf numFmtId="0" fontId="1" fillId="35" borderId="0" xfId="0" applyFont="1" applyFill="1"/>
    <xf numFmtId="0" fontId="1" fillId="36" borderId="0" xfId="0" applyFont="1" applyFill="1"/>
    <xf numFmtId="0" fontId="3" fillId="2" borderId="7" xfId="0" applyFont="1" applyFill="1" applyBorder="1"/>
    <xf numFmtId="0" fontId="3" fillId="0" borderId="0" xfId="0" applyFont="1" applyFill="1"/>
    <xf numFmtId="0" fontId="11" fillId="15" borderId="7" xfId="0" applyFont="1" applyFill="1" applyBorder="1"/>
    <xf numFmtId="0" fontId="55" fillId="0" borderId="7" xfId="0" applyFont="1" applyFill="1" applyBorder="1"/>
    <xf numFmtId="0" fontId="44" fillId="14" borderId="7" xfId="0" applyFont="1" applyFill="1" applyBorder="1"/>
    <xf numFmtId="0" fontId="1" fillId="2" borderId="2" xfId="0" applyFont="1" applyFill="1" applyBorder="1"/>
    <xf numFmtId="0" fontId="4" fillId="0" borderId="10" xfId="0" applyFont="1" applyBorder="1"/>
    <xf numFmtId="0" fontId="1" fillId="16" borderId="8" xfId="0" applyFont="1" applyFill="1" applyBorder="1"/>
    <xf numFmtId="0" fontId="3" fillId="16" borderId="7" xfId="0" applyFont="1" applyFill="1" applyBorder="1"/>
    <xf numFmtId="0" fontId="1" fillId="16" borderId="7" xfId="0" applyFont="1" applyFill="1" applyBorder="1"/>
    <xf numFmtId="0" fontId="3" fillId="16" borderId="2" xfId="0" applyFont="1" applyFill="1" applyBorder="1"/>
    <xf numFmtId="0" fontId="13" fillId="6" borderId="6" xfId="0" applyFont="1" applyFill="1" applyBorder="1"/>
    <xf numFmtId="0" fontId="22" fillId="0" borderId="0" xfId="0" applyFont="1"/>
    <xf numFmtId="0" fontId="13" fillId="6" borderId="10" xfId="0" applyFont="1" applyFill="1" applyBorder="1"/>
    <xf numFmtId="0" fontId="4" fillId="0" borderId="8" xfId="0" applyFont="1" applyBorder="1"/>
    <xf numFmtId="0" fontId="8" fillId="0" borderId="9" xfId="0" applyFont="1" applyFill="1" applyBorder="1"/>
    <xf numFmtId="0" fontId="58" fillId="0" borderId="0" xfId="0" applyFont="1"/>
    <xf numFmtId="0" fontId="8" fillId="0" borderId="2" xfId="0" applyFont="1" applyFill="1" applyBorder="1"/>
    <xf numFmtId="0" fontId="15" fillId="9" borderId="0" xfId="0" applyFont="1" applyFill="1"/>
    <xf numFmtId="0" fontId="22" fillId="6" borderId="10" xfId="0" applyFont="1" applyFill="1" applyBorder="1"/>
    <xf numFmtId="0" fontId="6" fillId="0" borderId="0" xfId="0" applyFont="1"/>
    <xf numFmtId="0" fontId="6" fillId="9" borderId="0" xfId="0" applyFont="1" applyFill="1"/>
    <xf numFmtId="0" fontId="26" fillId="0" borderId="0" xfId="0" applyFont="1"/>
    <xf numFmtId="0" fontId="4" fillId="6" borderId="10" xfId="0" applyFont="1" applyFill="1" applyBorder="1"/>
    <xf numFmtId="0" fontId="65" fillId="0" borderId="0" xfId="0" applyFont="1"/>
    <xf numFmtId="0" fontId="8" fillId="0" borderId="0" xfId="0" applyFont="1" applyFill="1"/>
    <xf numFmtId="0" fontId="6" fillId="0" borderId="0" xfId="0" applyFont="1" applyFill="1"/>
    <xf numFmtId="0" fontId="4" fillId="19" borderId="0" xfId="0" applyFont="1" applyFill="1" applyBorder="1"/>
    <xf numFmtId="0" fontId="1" fillId="6" borderId="10" xfId="0" applyFont="1" applyFill="1" applyBorder="1"/>
    <xf numFmtId="0" fontId="1" fillId="9" borderId="17" xfId="0" applyFont="1" applyFill="1" applyBorder="1"/>
    <xf numFmtId="0" fontId="45" fillId="18" borderId="10" xfId="0" applyFont="1" applyFill="1" applyBorder="1"/>
    <xf numFmtId="0" fontId="1" fillId="9" borderId="9" xfId="0" applyFont="1" applyFill="1" applyBorder="1"/>
    <xf numFmtId="0" fontId="4" fillId="0" borderId="16" xfId="0" applyFont="1" applyBorder="1"/>
    <xf numFmtId="0" fontId="45" fillId="0" borderId="17" xfId="0" applyFont="1" applyBorder="1"/>
    <xf numFmtId="0" fontId="1" fillId="8" borderId="17" xfId="0" applyFont="1" applyFill="1" applyBorder="1"/>
    <xf numFmtId="0" fontId="1" fillId="12" borderId="11" xfId="0" applyFont="1" applyFill="1" applyBorder="1"/>
    <xf numFmtId="0" fontId="1" fillId="31" borderId="11" xfId="0" applyFont="1" applyFill="1" applyBorder="1"/>
    <xf numFmtId="0" fontId="1" fillId="0" borderId="163" xfId="0" applyFont="1" applyBorder="1"/>
    <xf numFmtId="0" fontId="45" fillId="18" borderId="53" xfId="0" applyFont="1" applyFill="1" applyBorder="1"/>
    <xf numFmtId="0" fontId="1" fillId="12" borderId="17" xfId="0" applyFont="1" applyFill="1" applyBorder="1"/>
    <xf numFmtId="0" fontId="1" fillId="8" borderId="11" xfId="0" applyFont="1" applyFill="1" applyBorder="1"/>
    <xf numFmtId="0" fontId="20" fillId="6" borderId="10" xfId="0" applyFont="1" applyFill="1" applyBorder="1"/>
    <xf numFmtId="0" fontId="12" fillId="0" borderId="53" xfId="0" applyFont="1" applyBorder="1"/>
    <xf numFmtId="0" fontId="1" fillId="3" borderId="6" xfId="0" applyFont="1" applyFill="1" applyBorder="1"/>
    <xf numFmtId="0" fontId="45" fillId="8" borderId="10" xfId="0" applyFont="1" applyFill="1" applyBorder="1"/>
    <xf numFmtId="0" fontId="1" fillId="31" borderId="6" xfId="0" applyFont="1" applyFill="1" applyBorder="1"/>
    <xf numFmtId="0" fontId="8" fillId="19" borderId="6" xfId="0" applyFont="1" applyFill="1" applyBorder="1"/>
    <xf numFmtId="0" fontId="1" fillId="5" borderId="0" xfId="0" applyFont="1" applyFill="1"/>
  </cellXfs>
  <cellStyles count="2">
    <cellStyle name="Κανονικό" xfId="0" builtinId="0"/>
    <cellStyle name="Κόμμα" xfId="1" builtinId="3"/>
  </cellStyles>
  <dxfs count="0"/>
  <tableStyles count="0" defaultTableStyle="TableStyleMedium9" defaultPivotStyle="PivotStyleLight16"/>
  <colors>
    <mruColors>
      <color rgb="FF00B0F0"/>
      <color rgb="FF1D1B11"/>
      <color rgb="FF04FFEE"/>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J1217"/>
  <sheetViews>
    <sheetView topLeftCell="AK47" zoomScaleNormal="100" workbookViewId="0">
      <selection activeCell="AP80" sqref="AP80"/>
    </sheetView>
  </sheetViews>
  <sheetFormatPr defaultColWidth="9.140625" defaultRowHeight="15"/>
  <cols>
    <col min="1" max="3" width="9.140625" style="1"/>
    <col min="4" max="4" width="1.42578125" style="6" customWidth="1"/>
    <col min="5" max="5" width="0.85546875" style="7" customWidth="1"/>
    <col min="6" max="6" width="11.42578125" style="41" bestFit="1" customWidth="1"/>
    <col min="7" max="7" width="10.85546875" style="42" customWidth="1"/>
    <col min="8" max="8" width="11.140625" style="42" customWidth="1"/>
    <col min="9" max="9" width="11.42578125" style="42" customWidth="1"/>
    <col min="10" max="10" width="11" style="42" customWidth="1"/>
    <col min="11" max="11" width="10.85546875" style="42" customWidth="1"/>
    <col min="12" max="12" width="11.85546875" style="42" customWidth="1"/>
    <col min="13" max="13" width="19.85546875" style="22" customWidth="1"/>
    <col min="14" max="14" width="19.85546875" style="43" customWidth="1"/>
    <col min="15" max="15" width="0.85546875" style="7" customWidth="1"/>
    <col min="16" max="16" width="1.5703125" style="7" customWidth="1"/>
    <col min="17" max="17" width="9.140625" style="1"/>
    <col min="18" max="18" width="27" style="1" customWidth="1"/>
    <col min="19" max="19" width="24.7109375" style="1" customWidth="1"/>
    <col min="20" max="21" width="9.140625" style="1"/>
    <col min="22" max="22" width="3.5703125" style="1" customWidth="1"/>
    <col min="23" max="23" width="15.7109375" style="1" customWidth="1"/>
    <col min="24" max="24" width="22.42578125" style="1" customWidth="1"/>
    <col min="25" max="25" width="21.5703125" style="1" customWidth="1"/>
    <col min="26" max="26" width="9.140625" style="1"/>
    <col min="27" max="27" width="21.140625" style="1" customWidth="1"/>
    <col min="28" max="28" width="47.7109375" style="1" customWidth="1"/>
    <col min="29" max="29" width="9.140625" style="1"/>
    <col min="30" max="30" width="22" style="1" customWidth="1"/>
    <col min="31" max="31" width="9.140625" style="1"/>
    <col min="32" max="32" width="9.85546875" style="1" customWidth="1"/>
    <col min="33" max="33" width="9.140625" style="62"/>
    <col min="34" max="34" width="9.140625" style="1"/>
    <col min="35" max="35" width="45.7109375" style="1" customWidth="1"/>
    <col min="36" max="36" width="9.140625" style="1"/>
    <col min="37" max="37" width="3.85546875" style="1" customWidth="1"/>
    <col min="38" max="38" width="3.28515625" style="1" customWidth="1"/>
    <col min="39" max="56" width="9.140625" style="1"/>
    <col min="57" max="57" width="3.42578125" style="1" customWidth="1"/>
    <col min="58" max="58" width="11.28515625" style="1" bestFit="1" customWidth="1"/>
    <col min="59" max="59" width="39.140625" style="1" customWidth="1"/>
    <col min="60" max="60" width="12.7109375" style="1" bestFit="1" customWidth="1"/>
    <col min="61" max="61" width="3" style="1" customWidth="1"/>
    <col min="62" max="62" width="9.28515625" style="1" customWidth="1"/>
    <col min="63" max="63" width="43.7109375" style="1" customWidth="1"/>
    <col min="64" max="64" width="10.28515625" style="1" customWidth="1"/>
    <col min="65" max="65" width="3.85546875" style="1" customWidth="1"/>
    <col min="66" max="66" width="64.28515625" style="1" customWidth="1"/>
    <col min="67" max="67" width="13" style="1" bestFit="1" customWidth="1"/>
    <col min="68" max="68" width="9.140625" style="1"/>
    <col min="69" max="69" width="58.42578125" style="1" customWidth="1"/>
    <col min="70" max="70" width="13.28515625" style="1" bestFit="1" customWidth="1"/>
    <col min="71" max="71" width="9.140625" style="1"/>
    <col min="72" max="72" width="64.28515625" style="1" customWidth="1"/>
    <col min="73" max="73" width="14.85546875" style="1" bestFit="1" customWidth="1"/>
    <col min="74" max="74" width="3.42578125" style="1" customWidth="1"/>
    <col min="75" max="75" width="4.42578125" style="1" customWidth="1"/>
    <col min="76" max="76" width="9.140625" style="1"/>
    <col min="77" max="77" width="37.140625" style="1" customWidth="1"/>
    <col min="78" max="78" width="8.140625" style="1" customWidth="1"/>
    <col min="79" max="79" width="4.140625" style="1" customWidth="1"/>
    <col min="80" max="80" width="5.42578125" style="1" customWidth="1"/>
    <col min="81" max="81" width="9.140625" style="1"/>
    <col min="82" max="82" width="9.5703125" style="1" customWidth="1"/>
    <col min="83" max="83" width="6.140625" style="1" customWidth="1"/>
    <col min="84" max="84" width="2.28515625" style="1" customWidth="1"/>
    <col min="85" max="85" width="3.5703125" style="1" customWidth="1"/>
    <col min="86" max="86" width="9.140625" style="1"/>
    <col min="87" max="87" width="2.7109375" style="1" customWidth="1"/>
    <col min="88" max="88" width="9.140625" style="1"/>
    <col min="89" max="89" width="33.7109375" style="1" customWidth="1"/>
    <col min="90" max="90" width="9.140625" style="1"/>
    <col min="91" max="91" width="13.42578125" style="1" customWidth="1"/>
    <col min="92" max="92" width="9.140625" style="1"/>
    <col min="93" max="93" width="10.28515625" style="1" customWidth="1"/>
    <col min="94" max="94" width="8.85546875" style="1" customWidth="1"/>
    <col min="95" max="95" width="9.140625" style="1"/>
    <col min="96" max="96" width="11.140625" style="1" customWidth="1"/>
    <col min="97" max="97" width="9.140625" style="1"/>
    <col min="98" max="98" width="10" style="1" customWidth="1"/>
    <col min="99" max="99" width="4" style="1" customWidth="1"/>
    <col min="100" max="100" width="45.5703125" style="1" customWidth="1"/>
    <col min="101" max="101" width="9.140625" style="1"/>
    <col min="102" max="102" width="4" style="1" customWidth="1"/>
    <col min="103" max="108" width="9.140625" style="1"/>
    <col min="109" max="109" width="3.5703125" style="1" customWidth="1"/>
    <col min="110" max="110" width="42.5703125" style="1" customWidth="1"/>
    <col min="111" max="111" width="9.140625" style="1"/>
    <col min="112" max="112" width="3.5703125" style="1" customWidth="1"/>
    <col min="113" max="16384" width="9.140625" style="1"/>
  </cols>
  <sheetData>
    <row r="1" spans="1:114">
      <c r="A1" s="74"/>
      <c r="B1" s="74"/>
      <c r="C1" s="74"/>
      <c r="D1" s="2"/>
      <c r="E1" s="3"/>
      <c r="F1" s="89" t="s">
        <v>0</v>
      </c>
      <c r="G1" s="3"/>
      <c r="H1" s="3"/>
      <c r="I1" s="3"/>
      <c r="J1" s="3"/>
      <c r="K1" s="3"/>
      <c r="L1" s="3"/>
      <c r="M1" s="3"/>
      <c r="N1" s="3"/>
      <c r="O1" s="3"/>
      <c r="P1" s="3"/>
      <c r="Q1" s="3"/>
      <c r="R1" s="3"/>
      <c r="S1" s="3"/>
      <c r="T1" s="3"/>
      <c r="U1" s="3"/>
      <c r="V1" s="74"/>
      <c r="W1" s="74"/>
      <c r="X1" s="74"/>
      <c r="Y1" s="74"/>
      <c r="Z1" s="74"/>
      <c r="AA1" s="74"/>
      <c r="AB1" s="74"/>
      <c r="AC1" s="74"/>
      <c r="AD1" s="74"/>
      <c r="AE1" s="74"/>
      <c r="AF1" s="74"/>
      <c r="AG1" s="74"/>
      <c r="AH1" s="3"/>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DI1" s="74"/>
      <c r="DJ1" s="74"/>
    </row>
    <row r="2" spans="1:114">
      <c r="A2" s="59"/>
      <c r="B2" s="59"/>
      <c r="C2" s="59"/>
      <c r="D2" s="4"/>
      <c r="E2" s="4"/>
      <c r="F2" s="5" t="s">
        <v>0</v>
      </c>
      <c r="G2" s="4"/>
      <c r="H2" s="4"/>
      <c r="I2" s="4"/>
      <c r="J2" s="4"/>
      <c r="K2" s="4"/>
      <c r="L2" s="4"/>
      <c r="M2" s="4"/>
      <c r="N2" s="4"/>
      <c r="O2" s="4"/>
      <c r="P2" s="4"/>
      <c r="Q2" s="4"/>
      <c r="R2" s="4"/>
      <c r="S2" s="4"/>
      <c r="T2" s="4"/>
      <c r="U2" s="4"/>
      <c r="V2" s="59"/>
      <c r="W2" s="59"/>
      <c r="X2" s="59"/>
      <c r="Y2" s="59"/>
      <c r="Z2" s="59"/>
      <c r="AA2" s="59"/>
      <c r="AB2" s="59"/>
      <c r="AC2" s="59"/>
      <c r="AD2" s="59"/>
      <c r="AE2" s="59"/>
      <c r="AF2" s="59"/>
      <c r="AG2" s="59"/>
      <c r="AH2" s="4"/>
      <c r="AI2" s="59"/>
      <c r="AJ2" s="59"/>
      <c r="AK2" s="59"/>
      <c r="AL2" s="59"/>
      <c r="AM2" s="264" t="s">
        <v>2760</v>
      </c>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DI2" s="59"/>
      <c r="DJ2" s="59"/>
    </row>
    <row r="3" spans="1:114">
      <c r="A3" s="59"/>
      <c r="B3" s="264" t="s">
        <v>2665</v>
      </c>
      <c r="C3" s="59"/>
      <c r="F3" s="8" t="s">
        <v>1</v>
      </c>
      <c r="G3" s="9" t="s">
        <v>2</v>
      </c>
      <c r="H3" s="10" t="s">
        <v>3</v>
      </c>
      <c r="I3" s="11" t="s">
        <v>4</v>
      </c>
      <c r="J3" s="12" t="s">
        <v>5</v>
      </c>
      <c r="K3" s="13" t="s">
        <v>6</v>
      </c>
      <c r="L3" s="14"/>
      <c r="M3" s="15" t="s">
        <v>7</v>
      </c>
      <c r="N3" s="16" t="s">
        <v>7</v>
      </c>
      <c r="O3" s="17"/>
      <c r="V3" s="59"/>
      <c r="AI3" s="67"/>
      <c r="AJ3" s="67"/>
      <c r="AK3" s="67"/>
      <c r="AL3" s="75"/>
      <c r="AM3" s="252" t="s">
        <v>2729</v>
      </c>
      <c r="AN3" s="85"/>
      <c r="AO3" s="85"/>
      <c r="AP3" s="85"/>
      <c r="AQ3" s="85"/>
      <c r="AR3" s="85"/>
      <c r="AS3" s="85"/>
      <c r="AT3" s="85"/>
      <c r="AU3" s="85"/>
      <c r="AV3" s="85"/>
      <c r="AW3" s="85"/>
      <c r="AX3" s="85"/>
      <c r="AY3" s="85"/>
      <c r="AZ3" s="85"/>
      <c r="BA3" s="85"/>
      <c r="BB3" s="85"/>
      <c r="BC3" s="85"/>
      <c r="BD3" s="85"/>
      <c r="BE3" s="85"/>
      <c r="BF3" s="252" t="s">
        <v>2729</v>
      </c>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DI3" s="85"/>
      <c r="DJ3" s="85"/>
    </row>
    <row r="4" spans="1:114">
      <c r="A4" s="264" t="s">
        <v>3989</v>
      </c>
      <c r="B4" s="77" t="s">
        <v>2666</v>
      </c>
      <c r="C4" s="265" t="s">
        <v>2667</v>
      </c>
      <c r="F4" s="8" t="s">
        <v>8</v>
      </c>
      <c r="G4" s="18" t="s">
        <v>9</v>
      </c>
      <c r="H4" s="18" t="s">
        <v>10</v>
      </c>
      <c r="I4" s="18" t="s">
        <v>11</v>
      </c>
      <c r="J4" s="19" t="s">
        <v>12</v>
      </c>
      <c r="K4" s="19" t="s">
        <v>10</v>
      </c>
      <c r="L4" s="19" t="s">
        <v>11</v>
      </c>
      <c r="M4" s="20" t="s">
        <v>13</v>
      </c>
      <c r="N4" s="20" t="s">
        <v>14</v>
      </c>
      <c r="O4" s="17"/>
      <c r="V4" s="59"/>
      <c r="W4" s="1" t="s">
        <v>2983</v>
      </c>
      <c r="Y4" s="1" t="s">
        <v>2984</v>
      </c>
      <c r="AA4" s="1" t="s">
        <v>2985</v>
      </c>
      <c r="AI4" s="87"/>
      <c r="AJ4" s="87"/>
      <c r="AK4" s="67"/>
      <c r="AL4" s="59"/>
      <c r="AM4" s="269" t="s">
        <v>2765</v>
      </c>
      <c r="AN4" s="266"/>
      <c r="AO4" s="266"/>
      <c r="AP4" s="266"/>
      <c r="AQ4" s="266"/>
      <c r="AR4" s="266"/>
      <c r="AS4" s="266"/>
      <c r="AT4" s="266"/>
      <c r="AU4" s="266"/>
      <c r="AV4" s="266"/>
      <c r="AW4" s="266"/>
      <c r="AX4" s="266"/>
      <c r="AY4" s="266"/>
      <c r="AZ4" s="266"/>
      <c r="BA4" s="266"/>
      <c r="BB4" s="266"/>
      <c r="BC4" s="266"/>
      <c r="BD4" s="266"/>
      <c r="BE4" s="85"/>
      <c r="BF4" s="269" t="s">
        <v>2765</v>
      </c>
      <c r="BG4" s="266"/>
      <c r="BH4" s="266"/>
      <c r="BI4" s="266"/>
      <c r="BJ4" s="266"/>
      <c r="BK4" s="266"/>
      <c r="BL4" s="266"/>
      <c r="BM4" s="269" t="s">
        <v>3990</v>
      </c>
      <c r="BN4" s="266"/>
      <c r="BO4" s="266"/>
      <c r="BP4" s="266"/>
      <c r="BQ4" s="266"/>
      <c r="BR4" s="266"/>
      <c r="BS4" s="266"/>
      <c r="BT4" s="266"/>
      <c r="BU4" s="266"/>
      <c r="BV4" s="266"/>
      <c r="BW4" s="266"/>
      <c r="BX4" s="266"/>
      <c r="BY4" s="266"/>
      <c r="BZ4" s="266"/>
      <c r="CA4" s="266"/>
      <c r="CB4" s="266"/>
      <c r="CC4" s="266"/>
      <c r="CD4" s="266"/>
      <c r="CE4" s="266"/>
      <c r="CF4" s="266"/>
      <c r="CG4" s="266"/>
      <c r="CH4" s="266"/>
      <c r="CI4" s="266"/>
      <c r="CJ4" s="266"/>
      <c r="CK4" s="266"/>
      <c r="CL4" s="266"/>
      <c r="CM4" s="266"/>
      <c r="CN4" s="266"/>
      <c r="CO4" s="266"/>
      <c r="CP4" s="266"/>
      <c r="CQ4" s="266"/>
      <c r="CR4" s="266"/>
      <c r="CS4" s="266"/>
      <c r="CT4" s="266"/>
      <c r="CU4" s="266"/>
      <c r="CV4" s="266"/>
      <c r="CW4" s="266"/>
      <c r="CX4" s="266"/>
      <c r="DI4" s="266"/>
      <c r="DJ4" s="266"/>
    </row>
    <row r="5" spans="1:114">
      <c r="A5" s="58">
        <v>0</v>
      </c>
      <c r="B5" s="606" t="str">
        <f>T155</f>
        <v>α lyr</v>
      </c>
      <c r="C5" s="606" t="str">
        <f>T162</f>
        <v>μ 57</v>
      </c>
      <c r="F5" s="21"/>
      <c r="G5" s="22">
        <v>0</v>
      </c>
      <c r="H5" s="22">
        <v>0</v>
      </c>
      <c r="I5" s="22">
        <v>0</v>
      </c>
      <c r="J5" s="22">
        <v>0</v>
      </c>
      <c r="K5" s="22">
        <v>0</v>
      </c>
      <c r="L5" s="22">
        <v>0</v>
      </c>
      <c r="M5" s="22">
        <v>0</v>
      </c>
      <c r="N5" s="23">
        <v>0</v>
      </c>
      <c r="V5" s="59"/>
      <c r="Y5" s="61" t="str">
        <f>AJ10</f>
        <v>Βόρειος στέφανος</v>
      </c>
      <c r="AA5" s="69"/>
      <c r="AB5" s="69" t="s">
        <v>2986</v>
      </c>
      <c r="AC5" s="69" t="s">
        <v>2987</v>
      </c>
      <c r="AD5" s="69" t="s">
        <v>2988</v>
      </c>
      <c r="AE5" s="69" t="s">
        <v>2987</v>
      </c>
      <c r="AF5" s="69" t="s">
        <v>2989</v>
      </c>
      <c r="AI5" s="87"/>
      <c r="AJ5" s="87"/>
      <c r="AK5" s="67"/>
      <c r="AL5" s="59"/>
      <c r="AM5" s="283" t="s">
        <v>2784</v>
      </c>
      <c r="AN5" s="270"/>
      <c r="AO5" s="270"/>
      <c r="AP5" s="270"/>
      <c r="AQ5" s="270"/>
      <c r="AR5" s="270"/>
      <c r="AS5" s="270"/>
      <c r="AT5" s="270"/>
      <c r="AU5" s="270"/>
      <c r="AV5" s="270"/>
      <c r="AW5" s="270"/>
      <c r="AX5" s="270"/>
      <c r="AY5" s="270"/>
      <c r="AZ5" s="270"/>
      <c r="BA5" s="270"/>
      <c r="BB5" s="270"/>
      <c r="BC5" s="270"/>
      <c r="BD5" s="270"/>
      <c r="BE5" s="85"/>
      <c r="BF5" s="270"/>
      <c r="BG5" s="270"/>
      <c r="BH5" s="270"/>
      <c r="BI5" s="270"/>
      <c r="BJ5" s="270"/>
      <c r="BK5" s="270"/>
      <c r="BL5" s="270"/>
      <c r="BM5" s="266"/>
      <c r="BN5" s="270"/>
      <c r="BO5" s="270"/>
      <c r="BP5" s="270"/>
      <c r="BQ5" s="270"/>
      <c r="BR5" s="270"/>
      <c r="BS5" s="270"/>
      <c r="BT5" s="270"/>
      <c r="BU5" s="270"/>
      <c r="BV5" s="270"/>
      <c r="BW5" s="270"/>
      <c r="BX5" s="283" t="s">
        <v>2784</v>
      </c>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DI5" s="270"/>
      <c r="DJ5" s="270"/>
    </row>
    <row r="6" spans="1:114">
      <c r="A6" s="58">
        <v>0.1</v>
      </c>
      <c r="B6" s="80" t="str">
        <f t="shared" ref="B6:B69" si="0">IF(B5=F6,A6,B5)</f>
        <v>α lyr</v>
      </c>
      <c r="C6" s="80" t="str">
        <f t="shared" ref="C6:C69" si="1" xml:space="preserve"> IF(C5=F6,A6,C5)</f>
        <v>μ 57</v>
      </c>
      <c r="F6" s="608" t="s">
        <v>15</v>
      </c>
      <c r="G6" s="609"/>
      <c r="H6" s="609"/>
      <c r="I6" s="609"/>
      <c r="J6" s="609"/>
      <c r="K6" s="609"/>
      <c r="L6" s="609"/>
      <c r="M6" s="609" t="s">
        <v>17</v>
      </c>
      <c r="N6" s="607" t="s">
        <v>18</v>
      </c>
      <c r="V6" s="59"/>
      <c r="W6" s="1" t="s">
        <v>2990</v>
      </c>
      <c r="Y6" s="81" t="str">
        <f>IF(Y5=0,"α",Y5)</f>
        <v>Βόρειος στέφανος</v>
      </c>
      <c r="AA6" s="70" t="s">
        <v>2991</v>
      </c>
      <c r="AB6" s="70"/>
      <c r="AC6" s="70" t="s">
        <v>2992</v>
      </c>
      <c r="AD6" s="70" t="s">
        <v>13</v>
      </c>
      <c r="AE6" s="70" t="s">
        <v>2993</v>
      </c>
      <c r="AF6" s="70"/>
      <c r="AI6" s="87"/>
      <c r="AJ6" s="87"/>
      <c r="AK6" s="67"/>
      <c r="AL6" s="59"/>
      <c r="AM6" s="284" t="s">
        <v>2785</v>
      </c>
      <c r="AN6" s="54"/>
      <c r="AO6" s="54"/>
      <c r="AP6" s="54"/>
      <c r="AQ6" s="54"/>
      <c r="AR6" s="54"/>
      <c r="AS6" s="54"/>
      <c r="AT6" s="54"/>
      <c r="AU6" s="54"/>
      <c r="AV6" s="54"/>
      <c r="AW6" s="54"/>
      <c r="AX6" s="54"/>
      <c r="AY6" s="54"/>
      <c r="AZ6" s="54"/>
      <c r="BA6" s="54"/>
      <c r="BB6" s="54"/>
      <c r="BC6" s="54"/>
      <c r="BD6" s="54"/>
      <c r="BE6" s="85"/>
      <c r="BF6" s="54"/>
      <c r="BG6" s="54"/>
      <c r="BH6" s="54"/>
      <c r="BI6" s="54"/>
      <c r="BJ6" s="54"/>
      <c r="BK6" s="54"/>
      <c r="BL6" s="54"/>
      <c r="BM6" s="266"/>
      <c r="BN6" s="54"/>
      <c r="BO6" s="54"/>
      <c r="BP6" s="54"/>
      <c r="BQ6" s="54"/>
      <c r="BR6" s="54"/>
      <c r="BS6" s="54"/>
      <c r="BT6" s="54"/>
      <c r="BU6" s="54"/>
      <c r="BV6" s="54"/>
      <c r="BW6" s="270"/>
      <c r="BX6" s="54"/>
      <c r="BY6" s="54"/>
      <c r="BZ6" s="54"/>
      <c r="CA6" s="54"/>
      <c r="CB6" s="54"/>
      <c r="CC6" s="54"/>
      <c r="CD6" s="54"/>
      <c r="CE6" s="54"/>
      <c r="CF6" s="54"/>
      <c r="CG6" s="54"/>
      <c r="CH6" s="54"/>
      <c r="CI6" s="54"/>
      <c r="CJ6" s="54"/>
      <c r="CK6" s="54"/>
      <c r="CL6" s="54"/>
      <c r="CM6" s="54"/>
      <c r="CN6" s="54"/>
      <c r="CO6" s="54"/>
      <c r="CP6" s="54"/>
      <c r="CQ6" s="54"/>
      <c r="CR6" s="54"/>
      <c r="CS6" s="54"/>
      <c r="CT6" s="54"/>
      <c r="CU6" s="54"/>
      <c r="CV6" s="284" t="s">
        <v>2785</v>
      </c>
      <c r="CW6" s="54"/>
      <c r="CX6" s="54"/>
      <c r="DI6" s="54"/>
      <c r="DJ6" s="54"/>
    </row>
    <row r="7" spans="1:114">
      <c r="A7" s="335">
        <v>0.5</v>
      </c>
      <c r="B7" s="39" t="str">
        <f t="shared" si="0"/>
        <v>α lyr</v>
      </c>
      <c r="C7" s="39" t="str">
        <f t="shared" si="1"/>
        <v>μ 57</v>
      </c>
      <c r="F7" s="610" t="s">
        <v>3925</v>
      </c>
      <c r="G7" s="609"/>
      <c r="H7" s="609"/>
      <c r="I7" s="609"/>
      <c r="J7" s="609"/>
      <c r="K7" s="609"/>
      <c r="L7" s="609"/>
      <c r="M7" s="609" t="s">
        <v>17</v>
      </c>
      <c r="N7" s="607" t="s">
        <v>18</v>
      </c>
      <c r="V7" s="59"/>
      <c r="X7" s="1" t="b">
        <v>0</v>
      </c>
      <c r="AA7" s="69"/>
      <c r="AB7" s="69"/>
      <c r="AC7" s="69"/>
      <c r="AD7" s="69"/>
      <c r="AE7" s="69"/>
      <c r="AF7" s="69"/>
      <c r="AI7" s="96" t="s">
        <v>2674</v>
      </c>
      <c r="AJ7" s="87"/>
      <c r="AK7" s="67"/>
      <c r="AL7" s="59"/>
      <c r="BE7" s="85"/>
      <c r="BM7" s="269"/>
      <c r="BN7" s="77" t="s">
        <v>4104</v>
      </c>
      <c r="BO7" s="266"/>
      <c r="BP7" s="266"/>
      <c r="BQ7" s="266"/>
      <c r="BR7" s="266"/>
      <c r="BS7" s="266"/>
      <c r="BT7" s="266"/>
      <c r="BU7" s="266"/>
      <c r="BV7" s="266"/>
      <c r="BW7" s="270"/>
      <c r="CU7" s="54"/>
      <c r="CX7" s="54"/>
    </row>
    <row r="8" spans="1:114">
      <c r="A8" s="335">
        <v>1</v>
      </c>
      <c r="B8" s="39" t="str">
        <f t="shared" si="0"/>
        <v>α lyr</v>
      </c>
      <c r="C8" s="39" t="str">
        <f t="shared" si="1"/>
        <v>μ 57</v>
      </c>
      <c r="F8" s="600" t="s">
        <v>19</v>
      </c>
      <c r="G8" s="24" t="s">
        <v>20</v>
      </c>
      <c r="H8" s="24" t="s">
        <v>21</v>
      </c>
      <c r="I8" s="24" t="s">
        <v>22</v>
      </c>
      <c r="J8" s="24" t="s">
        <v>23</v>
      </c>
      <c r="K8" s="24" t="s">
        <v>24</v>
      </c>
      <c r="L8" s="24" t="s">
        <v>25</v>
      </c>
      <c r="M8" s="24" t="s">
        <v>26</v>
      </c>
      <c r="N8" s="24" t="s">
        <v>27</v>
      </c>
      <c r="S8" s="63" t="s">
        <v>2665</v>
      </c>
      <c r="V8" s="59"/>
      <c r="W8" s="1" t="s">
        <v>2994</v>
      </c>
      <c r="Y8" s="88" t="str">
        <f>LOOKUP(Y6,(X20:X266),(X20:X266))</f>
        <v>Βόρειος Στέφανος</v>
      </c>
      <c r="AA8" s="42" t="str">
        <f>Y20</f>
        <v>a</v>
      </c>
      <c r="AB8" s="42" t="str">
        <f>""</f>
        <v/>
      </c>
      <c r="AC8" s="42" t="str">
        <f>""</f>
        <v/>
      </c>
      <c r="AD8" s="42" t="str">
        <f>""</f>
        <v/>
      </c>
      <c r="AE8" s="42" t="str">
        <f>""</f>
        <v/>
      </c>
      <c r="AF8" s="42" t="str">
        <f>""</f>
        <v/>
      </c>
      <c r="AI8" s="56" t="s">
        <v>2827</v>
      </c>
      <c r="AJ8" s="68" t="str">
        <f>AU60</f>
        <v>α lyr</v>
      </c>
      <c r="AK8" s="67"/>
      <c r="AL8" s="59"/>
      <c r="BE8" s="85"/>
      <c r="BM8" s="266"/>
      <c r="BN8" s="63" t="s">
        <v>3991</v>
      </c>
      <c r="BV8" s="266"/>
      <c r="BW8" s="270"/>
      <c r="CU8" s="54"/>
      <c r="CX8" s="54"/>
    </row>
    <row r="9" spans="1:114">
      <c r="A9" s="335">
        <v>2</v>
      </c>
      <c r="B9" s="39" t="str">
        <f t="shared" si="0"/>
        <v>α lyr</v>
      </c>
      <c r="C9" s="39" t="str">
        <f t="shared" si="1"/>
        <v>μ 57</v>
      </c>
      <c r="F9" s="25" t="s">
        <v>28</v>
      </c>
      <c r="G9" s="22">
        <v>5</v>
      </c>
      <c r="H9" s="22">
        <v>46</v>
      </c>
      <c r="I9" s="22">
        <v>9.8000000000000007</v>
      </c>
      <c r="J9" s="22">
        <v>18</v>
      </c>
      <c r="K9" s="22">
        <v>19</v>
      </c>
      <c r="L9" s="22">
        <v>55</v>
      </c>
      <c r="M9" s="22" t="s">
        <v>29</v>
      </c>
      <c r="N9" s="23" t="s">
        <v>30</v>
      </c>
      <c r="S9" s="77" t="s">
        <v>2673</v>
      </c>
      <c r="T9" s="61" t="str">
        <f>AJ8</f>
        <v>α lyr</v>
      </c>
      <c r="V9" s="59"/>
      <c r="W9" s="335" t="s">
        <v>2998</v>
      </c>
      <c r="Y9" s="339">
        <f>IF(Y8=Y6,1,"a")</f>
        <v>1</v>
      </c>
      <c r="AA9" s="42" t="s">
        <v>139</v>
      </c>
      <c r="AB9" s="42" t="s">
        <v>2995</v>
      </c>
      <c r="AC9" s="42" t="s">
        <v>1862</v>
      </c>
      <c r="AD9" s="42" t="s">
        <v>2996</v>
      </c>
      <c r="AE9" s="42" t="s">
        <v>2997</v>
      </c>
      <c r="AF9" s="42"/>
      <c r="AI9" s="57" t="s">
        <v>2828</v>
      </c>
      <c r="AJ9" s="68" t="str">
        <f>AU61</f>
        <v>m 57</v>
      </c>
      <c r="AK9" s="67"/>
      <c r="AL9" s="59"/>
      <c r="BE9" s="85"/>
      <c r="BM9" s="266"/>
      <c r="BN9" s="284" t="s">
        <v>3992</v>
      </c>
      <c r="BO9" s="611">
        <f ca="1">BU10</f>
        <v>18.626840447678418</v>
      </c>
      <c r="BQ9" s="612" t="s">
        <v>3993</v>
      </c>
      <c r="BT9" s="63" t="s">
        <v>3991</v>
      </c>
      <c r="BV9" s="266"/>
      <c r="BW9" s="270"/>
      <c r="CU9" s="54"/>
      <c r="CX9" s="54"/>
    </row>
    <row r="10" spans="1:114">
      <c r="A10" s="335">
        <v>3</v>
      </c>
      <c r="B10" s="39" t="str">
        <f t="shared" si="0"/>
        <v>α lyr</v>
      </c>
      <c r="C10" s="39" t="str">
        <f t="shared" si="1"/>
        <v>μ 57</v>
      </c>
      <c r="F10" s="25" t="s">
        <v>31</v>
      </c>
      <c r="G10" s="22">
        <v>21</v>
      </c>
      <c r="H10" s="22">
        <v>5</v>
      </c>
      <c r="I10" s="22">
        <v>32</v>
      </c>
      <c r="J10" s="22">
        <v>-4</v>
      </c>
      <c r="K10" s="22">
        <v>-21</v>
      </c>
      <c r="L10" s="22">
        <v>-43</v>
      </c>
      <c r="N10" s="23"/>
      <c r="S10" s="265" t="s">
        <v>2667</v>
      </c>
      <c r="T10" s="61" t="str">
        <f>AJ9</f>
        <v>m 57</v>
      </c>
      <c r="V10" s="59"/>
      <c r="W10" s="1" t="s">
        <v>2676</v>
      </c>
      <c r="Y10" s="1" t="b">
        <f>ISNUMBER(Y9)</f>
        <v>1</v>
      </c>
      <c r="AA10" s="42" t="s">
        <v>167</v>
      </c>
      <c r="AB10" s="42" t="s">
        <v>2999</v>
      </c>
      <c r="AC10" s="42" t="s">
        <v>1876</v>
      </c>
      <c r="AD10" s="42" t="s">
        <v>3000</v>
      </c>
      <c r="AE10" s="42" t="s">
        <v>3001</v>
      </c>
      <c r="AF10" s="42"/>
      <c r="AI10" s="95" t="s">
        <v>2675</v>
      </c>
      <c r="AJ10" s="68" t="str">
        <f>AO66</f>
        <v>Βόρειος στέφανος</v>
      </c>
      <c r="AK10" s="67"/>
      <c r="AL10" s="59"/>
      <c r="BE10" s="85"/>
      <c r="BM10" s="266"/>
      <c r="BN10" s="284" t="s">
        <v>3994</v>
      </c>
      <c r="BO10" s="611">
        <f ca="1">BU11</f>
        <v>38.801603480624856</v>
      </c>
      <c r="BQ10" s="63" t="s">
        <v>2665</v>
      </c>
      <c r="BT10" s="284" t="s">
        <v>3992</v>
      </c>
      <c r="BU10" s="613">
        <f ca="1">BU83</f>
        <v>18.626840447678418</v>
      </c>
      <c r="BV10" s="266"/>
      <c r="BW10" s="270"/>
      <c r="CU10" s="54"/>
      <c r="CX10" s="54"/>
    </row>
    <row r="11" spans="1:114">
      <c r="A11" s="335">
        <v>4</v>
      </c>
      <c r="B11" s="39" t="str">
        <f t="shared" si="0"/>
        <v>α lyr</v>
      </c>
      <c r="C11" s="39" t="str">
        <f t="shared" si="1"/>
        <v>μ 57</v>
      </c>
      <c r="F11" s="25" t="s">
        <v>32</v>
      </c>
      <c r="G11" s="22">
        <v>18</v>
      </c>
      <c r="H11" s="22">
        <v>58</v>
      </c>
      <c r="I11" s="22">
        <v>56.3</v>
      </c>
      <c r="J11" s="22">
        <v>0</v>
      </c>
      <c r="K11" s="22">
        <v>0</v>
      </c>
      <c r="L11" s="22">
        <v>0</v>
      </c>
      <c r="M11" s="22" t="s">
        <v>33</v>
      </c>
      <c r="N11" s="22" t="s">
        <v>34</v>
      </c>
      <c r="S11" s="1" t="s">
        <v>2841</v>
      </c>
      <c r="V11" s="59"/>
      <c r="W11" s="1" t="s">
        <v>3396</v>
      </c>
      <c r="Y11" s="340" t="str">
        <f>IF(Y10=X7,"α",Y6)</f>
        <v>Βόρειος στέφανος</v>
      </c>
      <c r="AA11" s="42" t="s">
        <v>1680</v>
      </c>
      <c r="AB11" s="42" t="s">
        <v>3002</v>
      </c>
      <c r="AC11" s="42" t="s">
        <v>2619</v>
      </c>
      <c r="AD11" s="42" t="s">
        <v>3003</v>
      </c>
      <c r="AE11" s="42" t="s">
        <v>3004</v>
      </c>
      <c r="AF11" s="42"/>
      <c r="AI11" s="95" t="s">
        <v>3370</v>
      </c>
      <c r="AJ11" s="67"/>
      <c r="AK11" s="67"/>
      <c r="AL11" s="59"/>
      <c r="BE11" s="85"/>
      <c r="BF11" s="63" t="s">
        <v>2665</v>
      </c>
      <c r="BG11" s="77" t="s">
        <v>2732</v>
      </c>
      <c r="BH11" s="1" t="b">
        <f>ISNUMBER(BF12)</f>
        <v>1</v>
      </c>
      <c r="BJ11" s="63" t="s">
        <v>2665</v>
      </c>
      <c r="BK11" s="77" t="s">
        <v>2733</v>
      </c>
      <c r="BL11" s="1" t="b">
        <f>ISNUMBER(BJ12)</f>
        <v>1</v>
      </c>
      <c r="BM11" s="266"/>
      <c r="BN11" s="63" t="s">
        <v>3995</v>
      </c>
      <c r="BQ11" s="69" t="s">
        <v>2762</v>
      </c>
      <c r="BR11" s="61">
        <f ca="1">BO12</f>
        <v>2020</v>
      </c>
      <c r="BT11" s="284" t="s">
        <v>3994</v>
      </c>
      <c r="BU11" s="613">
        <f ca="1">BU32</f>
        <v>38.801603480624856</v>
      </c>
      <c r="BV11" s="266"/>
      <c r="BW11" s="270"/>
      <c r="CU11" s="54"/>
      <c r="CV11" s="63" t="s">
        <v>2772</v>
      </c>
      <c r="CX11" s="54"/>
    </row>
    <row r="12" spans="1:114">
      <c r="A12" s="335">
        <v>5</v>
      </c>
      <c r="B12" s="39" t="str">
        <f t="shared" si="0"/>
        <v>α lyr</v>
      </c>
      <c r="C12" s="39" t="str">
        <f t="shared" si="1"/>
        <v>μ 57</v>
      </c>
      <c r="F12" s="25" t="s">
        <v>35</v>
      </c>
      <c r="G12" s="22">
        <v>0</v>
      </c>
      <c r="H12" s="22">
        <v>0</v>
      </c>
      <c r="I12" s="22">
        <v>1</v>
      </c>
      <c r="J12" s="22">
        <v>0</v>
      </c>
      <c r="K12" s="22">
        <v>0</v>
      </c>
      <c r="L12" s="22">
        <v>0</v>
      </c>
      <c r="M12" s="22" t="s">
        <v>33</v>
      </c>
      <c r="N12" s="22" t="s">
        <v>34</v>
      </c>
      <c r="V12" s="59"/>
      <c r="W12" s="1" t="s">
        <v>3008</v>
      </c>
      <c r="Y12" s="62"/>
      <c r="AA12" s="42" t="s">
        <v>42</v>
      </c>
      <c r="AB12" s="42" t="s">
        <v>3005</v>
      </c>
      <c r="AC12" s="42" t="s">
        <v>1813</v>
      </c>
      <c r="AD12" s="42" t="s">
        <v>3006</v>
      </c>
      <c r="AE12" s="42" t="s">
        <v>3007</v>
      </c>
      <c r="AF12" s="42"/>
      <c r="AJ12" s="334" t="str">
        <f>Y15</f>
        <v>Corona Borealis</v>
      </c>
      <c r="AK12" s="67"/>
      <c r="AL12" s="59"/>
      <c r="BE12" s="85"/>
      <c r="BF12" s="61">
        <f>AS25</f>
        <v>18</v>
      </c>
      <c r="BG12" s="1" t="s">
        <v>2734</v>
      </c>
      <c r="BH12" s="82">
        <f>IF(BH11=BG15,0,BF12)</f>
        <v>18</v>
      </c>
      <c r="BJ12" s="61">
        <f>AS31</f>
        <v>38</v>
      </c>
      <c r="BK12" s="1" t="s">
        <v>2734</v>
      </c>
      <c r="BL12" s="82">
        <f>IF(BL11=BK15,0,BJ12)</f>
        <v>38</v>
      </c>
      <c r="BM12" s="266"/>
      <c r="BN12" s="69" t="s">
        <v>2762</v>
      </c>
      <c r="BO12" s="61">
        <f ca="1">AW51</f>
        <v>2020</v>
      </c>
      <c r="BQ12" s="614" t="s">
        <v>3996</v>
      </c>
      <c r="BR12" s="259"/>
      <c r="BV12" s="266"/>
      <c r="BW12" s="270"/>
      <c r="CU12" s="54"/>
      <c r="CV12" s="56" t="s">
        <v>2786</v>
      </c>
      <c r="CW12" s="61">
        <f ca="1">BO9</f>
        <v>18.626840447678418</v>
      </c>
      <c r="CX12" s="54"/>
    </row>
    <row r="13" spans="1:114">
      <c r="A13" s="335">
        <v>6</v>
      </c>
      <c r="B13" s="39" t="str">
        <f t="shared" si="0"/>
        <v>α lyr</v>
      </c>
      <c r="C13" s="39" t="str">
        <f t="shared" si="1"/>
        <v>μ 57</v>
      </c>
      <c r="F13" s="25" t="s">
        <v>36</v>
      </c>
      <c r="G13" s="22" t="s">
        <v>33</v>
      </c>
      <c r="H13" s="22" t="s">
        <v>34</v>
      </c>
      <c r="I13" s="22" t="s">
        <v>33</v>
      </c>
      <c r="J13" s="22" t="s">
        <v>34</v>
      </c>
      <c r="K13" s="22" t="s">
        <v>33</v>
      </c>
      <c r="L13" s="22" t="s">
        <v>34</v>
      </c>
      <c r="M13" s="22" t="s">
        <v>33</v>
      </c>
      <c r="N13" s="22" t="s">
        <v>34</v>
      </c>
      <c r="S13" s="307" t="s">
        <v>2673</v>
      </c>
      <c r="T13" s="61" t="str">
        <f>IF(T9=0,"  ",T9)</f>
        <v>α lyr</v>
      </c>
      <c r="V13" s="59"/>
      <c r="W13" s="1" t="s">
        <v>2994</v>
      </c>
      <c r="Y13" s="74" t="str">
        <f>LOOKUP(Y11,(X20:X266),(Y20:Y266))</f>
        <v>Corona Borealis</v>
      </c>
      <c r="AA13" s="42" t="s">
        <v>218</v>
      </c>
      <c r="AB13" s="42" t="s">
        <v>3009</v>
      </c>
      <c r="AC13" s="42" t="s">
        <v>218</v>
      </c>
      <c r="AD13" s="42" t="s">
        <v>3010</v>
      </c>
      <c r="AE13" s="42" t="s">
        <v>3011</v>
      </c>
      <c r="AF13" s="42"/>
      <c r="AI13" s="1" t="s">
        <v>3371</v>
      </c>
      <c r="AJ13" s="266" t="str">
        <f>LOOKUP(AJ12,(AA7:AA84),(AA7:AA84))</f>
        <v>Corona Borealis</v>
      </c>
      <c r="AK13" s="67"/>
      <c r="AL13" s="59"/>
      <c r="BE13" s="85"/>
      <c r="BF13" s="61">
        <f>AS26</f>
        <v>36</v>
      </c>
      <c r="BG13" s="1" t="s">
        <v>10</v>
      </c>
      <c r="BH13" s="1" t="b">
        <f>ISNUMBER(BF13)</f>
        <v>1</v>
      </c>
      <c r="BJ13" s="61">
        <f>AS32</f>
        <v>47</v>
      </c>
      <c r="BK13" s="1" t="s">
        <v>10</v>
      </c>
      <c r="BL13" s="1" t="b">
        <f>ISNUMBER(BJ13)</f>
        <v>1</v>
      </c>
      <c r="BM13" s="266"/>
      <c r="BN13" s="42" t="s">
        <v>3997</v>
      </c>
      <c r="BO13" s="61">
        <f>BF31</f>
        <v>18.615638888888888</v>
      </c>
      <c r="BQ13" s="42" t="s">
        <v>3998</v>
      </c>
      <c r="BR13" s="61">
        <f>BO19</f>
        <v>285.32138129718197</v>
      </c>
      <c r="BV13" s="266"/>
      <c r="BW13" s="270"/>
      <c r="CU13" s="54"/>
      <c r="CV13" s="56" t="s">
        <v>2787</v>
      </c>
      <c r="CW13" s="61">
        <f ca="1">BO10</f>
        <v>38.801603480624856</v>
      </c>
      <c r="CX13" s="54"/>
    </row>
    <row r="14" spans="1:114">
      <c r="A14" s="335">
        <v>7</v>
      </c>
      <c r="B14" s="39" t="str">
        <f t="shared" si="0"/>
        <v>α lyr</v>
      </c>
      <c r="C14" s="39" t="str">
        <f t="shared" si="1"/>
        <v>μ 57</v>
      </c>
      <c r="F14" s="25" t="s">
        <v>37</v>
      </c>
      <c r="G14" s="22" t="s">
        <v>33</v>
      </c>
      <c r="H14" s="22" t="s">
        <v>34</v>
      </c>
      <c r="I14" s="22" t="s">
        <v>33</v>
      </c>
      <c r="J14" s="22" t="s">
        <v>34</v>
      </c>
      <c r="K14" s="22" t="s">
        <v>33</v>
      </c>
      <c r="L14" s="22" t="s">
        <v>34</v>
      </c>
      <c r="M14" s="22" t="s">
        <v>33</v>
      </c>
      <c r="N14" s="22" t="s">
        <v>34</v>
      </c>
      <c r="S14" s="308" t="s">
        <v>2667</v>
      </c>
      <c r="T14" s="61" t="str">
        <f>IF(T10=0,"  ",T10)</f>
        <v>m 57</v>
      </c>
      <c r="V14" s="59"/>
      <c r="AA14" s="42" t="s">
        <v>629</v>
      </c>
      <c r="AB14" s="42" t="s">
        <v>3012</v>
      </c>
      <c r="AC14" s="42" t="s">
        <v>2102</v>
      </c>
      <c r="AD14" s="42" t="s">
        <v>3013</v>
      </c>
      <c r="AE14" s="42" t="s">
        <v>3014</v>
      </c>
      <c r="AF14" s="42"/>
      <c r="AI14" s="335" t="s">
        <v>3377</v>
      </c>
      <c r="AJ14" s="1">
        <f>IF(AJ13=AJ12,1,"a")</f>
        <v>1</v>
      </c>
      <c r="AK14" s="67"/>
      <c r="AL14" s="59"/>
      <c r="BE14" s="85"/>
      <c r="BF14" s="61">
        <f>AS27</f>
        <v>56.3</v>
      </c>
      <c r="BG14" s="1" t="s">
        <v>2731</v>
      </c>
      <c r="BH14" s="82">
        <f>IF(BH13=BG15,0,BF13)</f>
        <v>36</v>
      </c>
      <c r="BJ14" s="61">
        <f>AS33</f>
        <v>1</v>
      </c>
      <c r="BK14" s="1" t="s">
        <v>2731</v>
      </c>
      <c r="BL14" s="82">
        <f>IF(BL13=BK15,0,BJ13)</f>
        <v>47</v>
      </c>
      <c r="BM14" s="266"/>
      <c r="BN14" s="70" t="s">
        <v>3999</v>
      </c>
      <c r="BO14" s="61">
        <f>BJ31</f>
        <v>38.783611111111114</v>
      </c>
      <c r="BQ14" s="191" t="s">
        <v>4000</v>
      </c>
      <c r="BR14" s="61">
        <f>BO20</f>
        <v>61.743131859113014</v>
      </c>
      <c r="BT14" s="63" t="s">
        <v>4001</v>
      </c>
      <c r="BV14" s="266"/>
      <c r="BW14" s="270"/>
      <c r="CU14" s="54"/>
      <c r="CX14" s="54"/>
    </row>
    <row r="15" spans="1:114">
      <c r="A15" s="335">
        <v>8</v>
      </c>
      <c r="B15" s="39" t="str">
        <f t="shared" si="0"/>
        <v>α lyr</v>
      </c>
      <c r="C15" s="39" t="str">
        <f t="shared" si="1"/>
        <v>μ 57</v>
      </c>
      <c r="F15" s="25" t="s">
        <v>38</v>
      </c>
      <c r="G15" s="22" t="s">
        <v>33</v>
      </c>
      <c r="H15" s="22" t="s">
        <v>34</v>
      </c>
      <c r="I15" s="22" t="s">
        <v>33</v>
      </c>
      <c r="J15" s="22" t="s">
        <v>34</v>
      </c>
      <c r="K15" s="22" t="s">
        <v>33</v>
      </c>
      <c r="L15" s="22" t="s">
        <v>34</v>
      </c>
      <c r="M15" s="22" t="s">
        <v>33</v>
      </c>
      <c r="N15" s="22" t="s">
        <v>34</v>
      </c>
      <c r="V15" s="59"/>
      <c r="W15" s="1" t="s">
        <v>3397</v>
      </c>
      <c r="Y15" s="341" t="str">
        <f>IF(Y10=X7,Y6,Y13)</f>
        <v>Corona Borealis</v>
      </c>
      <c r="AA15" s="42" t="s">
        <v>330</v>
      </c>
      <c r="AB15" s="42" t="s">
        <v>3015</v>
      </c>
      <c r="AC15" s="42" t="s">
        <v>1951</v>
      </c>
      <c r="AD15" s="42" t="s">
        <v>3016</v>
      </c>
      <c r="AE15" s="42" t="s">
        <v>3017</v>
      </c>
      <c r="AF15" s="42"/>
      <c r="AI15" s="1" t="s">
        <v>2680</v>
      </c>
      <c r="AJ15" s="1" t="b">
        <f>ISNUMBER(AJ14)</f>
        <v>1</v>
      </c>
      <c r="AK15" s="67"/>
      <c r="AL15" s="59"/>
      <c r="BE15" s="85"/>
      <c r="BG15" s="1" t="b">
        <v>0</v>
      </c>
      <c r="BH15" s="1" t="b">
        <f>ISNUMBER(BF14)</f>
        <v>1</v>
      </c>
      <c r="BK15" s="1" t="b">
        <v>0</v>
      </c>
      <c r="BL15" s="1" t="b">
        <f>ISNUMBER(BJ14)</f>
        <v>1</v>
      </c>
      <c r="BM15" s="266"/>
      <c r="BO15" s="1" t="s">
        <v>2763</v>
      </c>
      <c r="BT15" s="615" t="s">
        <v>4002</v>
      </c>
      <c r="BU15" s="61">
        <f ca="1">BR24</f>
        <v>285.60060351940422</v>
      </c>
      <c r="BV15" s="266"/>
      <c r="BW15" s="270"/>
      <c r="CU15" s="54"/>
      <c r="CV15" s="57" t="s">
        <v>2788</v>
      </c>
      <c r="CW15" s="61">
        <f ca="1">BO88</f>
        <v>18.905475245822586</v>
      </c>
      <c r="CX15" s="54"/>
    </row>
    <row r="16" spans="1:114">
      <c r="A16" s="335">
        <v>9</v>
      </c>
      <c r="B16" s="39" t="str">
        <f t="shared" si="0"/>
        <v>α lyr</v>
      </c>
      <c r="C16" s="39" t="str">
        <f t="shared" si="1"/>
        <v>μ 57</v>
      </c>
      <c r="F16" s="25" t="s">
        <v>39</v>
      </c>
      <c r="G16" s="22" t="s">
        <v>33</v>
      </c>
      <c r="H16" s="22" t="s">
        <v>34</v>
      </c>
      <c r="I16" s="22" t="s">
        <v>33</v>
      </c>
      <c r="J16" s="22" t="s">
        <v>34</v>
      </c>
      <c r="K16" s="22" t="s">
        <v>33</v>
      </c>
      <c r="L16" s="22" t="s">
        <v>34</v>
      </c>
      <c r="M16" s="22" t="s">
        <v>33</v>
      </c>
      <c r="N16" s="22" t="s">
        <v>34</v>
      </c>
      <c r="R16" s="309" t="s">
        <v>2673</v>
      </c>
      <c r="S16" s="310" t="s">
        <v>2842</v>
      </c>
      <c r="T16" s="311" t="str">
        <f>T13</f>
        <v>α lyr</v>
      </c>
      <c r="V16" s="59"/>
      <c r="AA16" s="42" t="s">
        <v>3018</v>
      </c>
      <c r="AB16" s="42" t="s">
        <v>3019</v>
      </c>
      <c r="AC16" s="42" t="s">
        <v>190</v>
      </c>
      <c r="AD16" s="42" t="s">
        <v>3020</v>
      </c>
      <c r="AE16" s="42" t="s">
        <v>3021</v>
      </c>
      <c r="AF16" s="42"/>
      <c r="AI16" s="1" t="b">
        <v>0</v>
      </c>
      <c r="AK16" s="67"/>
      <c r="AL16" s="59"/>
      <c r="BE16" s="85"/>
      <c r="BH16" s="82">
        <f>IF(BH15=BG15,0,BF14)</f>
        <v>56.3</v>
      </c>
      <c r="BL16" s="82">
        <f>IF(BL15=BK15,0,BJ14)</f>
        <v>1</v>
      </c>
      <c r="BM16" s="266"/>
      <c r="BQ16" s="616" t="s">
        <v>4003</v>
      </c>
      <c r="BR16" s="1">
        <v>50.26</v>
      </c>
      <c r="BT16" s="617" t="s">
        <v>4004</v>
      </c>
      <c r="BU16" s="61">
        <f>BR25</f>
        <v>61.743131859113014</v>
      </c>
      <c r="BV16" s="266"/>
      <c r="BW16" s="270"/>
      <c r="CU16" s="54"/>
      <c r="CV16" s="57" t="s">
        <v>2789</v>
      </c>
      <c r="CW16" s="61">
        <f ca="1">BO89</f>
        <v>33.055085809563394</v>
      </c>
      <c r="CX16" s="54"/>
    </row>
    <row r="17" spans="1:102">
      <c r="A17" s="335">
        <v>10</v>
      </c>
      <c r="B17" s="39" t="str">
        <f t="shared" si="0"/>
        <v>α lyr</v>
      </c>
      <c r="C17" s="39" t="str">
        <f t="shared" si="1"/>
        <v>μ 57</v>
      </c>
      <c r="F17" s="25" t="s">
        <v>40</v>
      </c>
      <c r="G17" s="22" t="s">
        <v>33</v>
      </c>
      <c r="H17" s="22" t="s">
        <v>34</v>
      </c>
      <c r="I17" s="22" t="s">
        <v>33</v>
      </c>
      <c r="J17" s="22" t="s">
        <v>34</v>
      </c>
      <c r="K17" s="22" t="s">
        <v>33</v>
      </c>
      <c r="L17" s="22" t="s">
        <v>34</v>
      </c>
      <c r="M17" s="22" t="s">
        <v>33</v>
      </c>
      <c r="N17" s="22" t="s">
        <v>34</v>
      </c>
      <c r="R17" s="312" t="s">
        <v>2843</v>
      </c>
      <c r="S17" s="313" t="s">
        <v>2844</v>
      </c>
      <c r="T17" s="314" t="str">
        <f>LEFT(T16,(FIND(" ",T16,1)-1))</f>
        <v>α</v>
      </c>
      <c r="V17" s="59"/>
      <c r="AA17" s="42" t="s">
        <v>467</v>
      </c>
      <c r="AB17" s="42" t="s">
        <v>3022</v>
      </c>
      <c r="AC17" s="42" t="s">
        <v>2021</v>
      </c>
      <c r="AD17" s="42" t="s">
        <v>3023</v>
      </c>
      <c r="AE17" s="42" t="s">
        <v>3024</v>
      </c>
      <c r="AF17" s="42"/>
      <c r="AK17" s="67"/>
      <c r="AL17" s="59"/>
      <c r="BE17" s="85"/>
      <c r="BG17" s="1" t="s">
        <v>2735</v>
      </c>
      <c r="BH17" s="1">
        <f>IF(BH12&lt;0,0,1)</f>
        <v>1</v>
      </c>
      <c r="BK17" s="1" t="s">
        <v>2735</v>
      </c>
      <c r="BL17" s="1">
        <f>IF(BL12&lt;0,0,1)</f>
        <v>1</v>
      </c>
      <c r="BM17" s="266"/>
      <c r="BQ17" s="616" t="s">
        <v>4005</v>
      </c>
      <c r="BR17" s="1">
        <v>1296000</v>
      </c>
      <c r="BU17" s="1" t="s">
        <v>2763</v>
      </c>
      <c r="BV17" s="266"/>
      <c r="BW17" s="270"/>
      <c r="CU17" s="54"/>
      <c r="CX17" s="54"/>
    </row>
    <row r="18" spans="1:102">
      <c r="A18" s="335">
        <v>11</v>
      </c>
      <c r="B18" s="39" t="str">
        <f t="shared" si="0"/>
        <v>α lyr</v>
      </c>
      <c r="C18" s="39" t="str">
        <f t="shared" si="1"/>
        <v>μ 57</v>
      </c>
      <c r="F18" s="27" t="s">
        <v>1813</v>
      </c>
      <c r="G18" s="26"/>
      <c r="H18" s="26"/>
      <c r="I18" s="26"/>
      <c r="J18" s="26"/>
      <c r="K18" s="26"/>
      <c r="L18" s="26"/>
      <c r="M18" s="26" t="s">
        <v>41</v>
      </c>
      <c r="N18" s="26" t="s">
        <v>42</v>
      </c>
      <c r="R18" s="315" t="s">
        <v>2845</v>
      </c>
      <c r="S18" s="316" t="s">
        <v>2846</v>
      </c>
      <c r="T18" s="317" t="str">
        <f>MID(T16,FIND(" ",T16)+1,256)</f>
        <v>lyr</v>
      </c>
      <c r="V18" s="59"/>
      <c r="AA18" s="42" t="s">
        <v>477</v>
      </c>
      <c r="AB18" s="42" t="s">
        <v>3025</v>
      </c>
      <c r="AC18" s="42" t="s">
        <v>2026</v>
      </c>
      <c r="AD18" s="42" t="s">
        <v>3026</v>
      </c>
      <c r="AE18" s="42" t="s">
        <v>3027</v>
      </c>
      <c r="AF18" s="42"/>
      <c r="AI18" s="1" t="s">
        <v>3378</v>
      </c>
      <c r="AJ18" s="342" t="str">
        <f>IF(AJ15=AI16,"ZZZ",AJ13)</f>
        <v>Corona Borealis</v>
      </c>
      <c r="AK18" s="67"/>
      <c r="AL18" s="59"/>
      <c r="BE18" s="85"/>
      <c r="BH18" s="1">
        <f>IF(BH14&lt;0,0,1)</f>
        <v>1</v>
      </c>
      <c r="BL18" s="1">
        <f>IF(BL14&lt;0,0,1)</f>
        <v>1</v>
      </c>
      <c r="BM18" s="266"/>
      <c r="BQ18" s="1" t="s">
        <v>4006</v>
      </c>
      <c r="BR18" s="1">
        <f ca="1">BR11-2000</f>
        <v>20</v>
      </c>
      <c r="BT18" s="1" t="s">
        <v>4007</v>
      </c>
      <c r="BU18" s="371">
        <v>23.45</v>
      </c>
      <c r="BV18" s="266"/>
      <c r="BW18" s="270"/>
      <c r="CU18" s="54"/>
      <c r="CV18" s="84" t="s">
        <v>2790</v>
      </c>
      <c r="CW18" s="286"/>
      <c r="CX18" s="54"/>
    </row>
    <row r="19" spans="1:102">
      <c r="A19" s="335">
        <v>12</v>
      </c>
      <c r="B19" s="39" t="str">
        <f t="shared" si="0"/>
        <v>α lyr</v>
      </c>
      <c r="C19" s="39" t="str">
        <f t="shared" si="1"/>
        <v>μ 57</v>
      </c>
      <c r="F19" s="25" t="s">
        <v>1814</v>
      </c>
      <c r="G19" s="28">
        <v>19</v>
      </c>
      <c r="H19" s="28">
        <v>50</v>
      </c>
      <c r="I19" s="29">
        <v>47</v>
      </c>
      <c r="J19" s="22">
        <v>8</v>
      </c>
      <c r="K19" s="22">
        <v>52</v>
      </c>
      <c r="L19" s="22">
        <v>6</v>
      </c>
      <c r="M19" s="22" t="s">
        <v>43</v>
      </c>
      <c r="N19" s="23" t="s">
        <v>44</v>
      </c>
      <c r="R19" s="312" t="s">
        <v>2847</v>
      </c>
      <c r="S19" s="39"/>
      <c r="T19" s="318">
        <f>IF(T17=0,"a",1)</f>
        <v>1</v>
      </c>
      <c r="V19" s="59"/>
      <c r="X19" s="1" t="s">
        <v>3028</v>
      </c>
      <c r="AA19" s="42" t="s">
        <v>639</v>
      </c>
      <c r="AB19" s="42" t="s">
        <v>3029</v>
      </c>
      <c r="AC19" s="42" t="s">
        <v>2107</v>
      </c>
      <c r="AD19" s="42" t="s">
        <v>3030</v>
      </c>
      <c r="AE19" s="42" t="s">
        <v>3031</v>
      </c>
      <c r="AF19" s="42"/>
      <c r="AI19" s="1" t="s">
        <v>3372</v>
      </c>
      <c r="AJ19" s="73" t="str">
        <f>IF(AJ18=AA83,"a",AJ18)</f>
        <v>Corona Borealis</v>
      </c>
      <c r="AK19" s="67"/>
      <c r="AL19" s="59"/>
      <c r="BE19" s="85"/>
      <c r="BH19" s="1">
        <f>IF(BH16&lt;0,0,1)</f>
        <v>1</v>
      </c>
      <c r="BL19" s="1">
        <f>IF(BL16&lt;0,0,1)</f>
        <v>1</v>
      </c>
      <c r="BM19" s="266"/>
      <c r="BN19" s="284" t="s">
        <v>4008</v>
      </c>
      <c r="BO19" s="613">
        <f>BO85</f>
        <v>285.32138129718197</v>
      </c>
      <c r="BQ19" s="1" t="s">
        <v>4009</v>
      </c>
      <c r="BR19" s="1">
        <f ca="1">BR18*BR16</f>
        <v>1005.1999999999999</v>
      </c>
      <c r="BT19" s="1" t="s">
        <v>4010</v>
      </c>
      <c r="BU19" s="444">
        <v>0.39794863130761038</v>
      </c>
      <c r="BV19" s="266"/>
      <c r="BW19" s="270"/>
      <c r="CU19" s="54"/>
      <c r="CV19" s="287" t="s">
        <v>2791</v>
      </c>
      <c r="CX19" s="54"/>
    </row>
    <row r="20" spans="1:102">
      <c r="A20" s="335">
        <v>13</v>
      </c>
      <c r="B20" s="39" t="str">
        <f t="shared" si="0"/>
        <v>α lyr</v>
      </c>
      <c r="C20" s="39" t="str">
        <f t="shared" si="1"/>
        <v>μ 57</v>
      </c>
      <c r="F20" s="25" t="s">
        <v>1815</v>
      </c>
      <c r="G20" s="22">
        <v>19</v>
      </c>
      <c r="H20" s="22">
        <v>55</v>
      </c>
      <c r="I20" s="22">
        <v>18.8</v>
      </c>
      <c r="J20" s="22">
        <v>6</v>
      </c>
      <c r="K20" s="22">
        <v>24</v>
      </c>
      <c r="L20" s="22">
        <v>24</v>
      </c>
      <c r="M20" s="22" t="s">
        <v>45</v>
      </c>
      <c r="N20" s="23" t="s">
        <v>46</v>
      </c>
      <c r="R20" s="312" t="s">
        <v>2676</v>
      </c>
      <c r="S20" s="39" t="b">
        <v>0</v>
      </c>
      <c r="T20" s="318" t="b">
        <f>ISNUMBER(T19)</f>
        <v>1</v>
      </c>
      <c r="V20" s="59"/>
      <c r="X20" s="69" t="s">
        <v>15</v>
      </c>
      <c r="Y20" s="69" t="s">
        <v>2853</v>
      </c>
      <c r="AA20" s="42" t="s">
        <v>567</v>
      </c>
      <c r="AB20" s="42" t="s">
        <v>3032</v>
      </c>
      <c r="AC20" s="42" t="s">
        <v>2071</v>
      </c>
      <c r="AD20" s="42" t="s">
        <v>3033</v>
      </c>
      <c r="AE20" s="42" t="s">
        <v>3034</v>
      </c>
      <c r="AF20" s="42"/>
      <c r="AI20" s="63" t="s">
        <v>2672</v>
      </c>
      <c r="AK20" s="67"/>
      <c r="AL20" s="59"/>
      <c r="BE20" s="85"/>
      <c r="BG20" s="1" t="s">
        <v>2736</v>
      </c>
      <c r="BH20" s="87">
        <f>BH17+BH18+BH19</f>
        <v>3</v>
      </c>
      <c r="BK20" s="1" t="s">
        <v>2736</v>
      </c>
      <c r="BL20" s="87">
        <f>BL17+BL18+BL19</f>
        <v>3</v>
      </c>
      <c r="BM20" s="266"/>
      <c r="BN20" s="284" t="s">
        <v>4011</v>
      </c>
      <c r="BO20" s="613">
        <f>BO40</f>
        <v>61.743131859113014</v>
      </c>
      <c r="BQ20" s="1" t="s">
        <v>4012</v>
      </c>
      <c r="BR20" s="1">
        <f ca="1">BR19/3600</f>
        <v>0.27922222222222221</v>
      </c>
      <c r="BT20" s="1" t="s">
        <v>4013</v>
      </c>
      <c r="BU20" s="444">
        <v>0.91740769935748823</v>
      </c>
      <c r="BV20" s="266"/>
      <c r="BW20" s="270"/>
      <c r="CU20" s="54"/>
      <c r="CV20" s="1" t="s">
        <v>2792</v>
      </c>
      <c r="CW20" s="1">
        <f ca="1">CW12-CW15</f>
        <v>-0.27863479814416792</v>
      </c>
      <c r="CX20" s="54"/>
    </row>
    <row r="21" spans="1:102">
      <c r="A21" s="335">
        <v>14</v>
      </c>
      <c r="B21" s="39" t="str">
        <f t="shared" si="0"/>
        <v>α lyr</v>
      </c>
      <c r="C21" s="39" t="str">
        <f t="shared" si="1"/>
        <v>μ 57</v>
      </c>
      <c r="F21" s="25" t="s">
        <v>1816</v>
      </c>
      <c r="G21" s="22">
        <v>19</v>
      </c>
      <c r="H21" s="22">
        <v>46</v>
      </c>
      <c r="I21" s="22">
        <v>15.6</v>
      </c>
      <c r="J21" s="22">
        <v>10</v>
      </c>
      <c r="K21" s="22">
        <v>36</v>
      </c>
      <c r="L21" s="22">
        <v>48</v>
      </c>
      <c r="M21" s="22" t="s">
        <v>47</v>
      </c>
      <c r="N21" s="23" t="s">
        <v>48</v>
      </c>
      <c r="R21" s="312" t="s">
        <v>2848</v>
      </c>
      <c r="S21" s="313" t="s">
        <v>2849</v>
      </c>
      <c r="T21" s="319" t="str">
        <f>IF(T20=S20,0,T17)</f>
        <v>α</v>
      </c>
      <c r="V21" s="59"/>
      <c r="X21" s="42" t="s">
        <v>3035</v>
      </c>
      <c r="Y21" s="42" t="s">
        <v>42</v>
      </c>
      <c r="AA21" s="42" t="s">
        <v>583</v>
      </c>
      <c r="AB21" s="42" t="s">
        <v>3036</v>
      </c>
      <c r="AC21" s="42" t="s">
        <v>2079</v>
      </c>
      <c r="AD21" s="42" t="s">
        <v>3037</v>
      </c>
      <c r="AE21" s="42" t="s">
        <v>3038</v>
      </c>
      <c r="AF21" s="42"/>
      <c r="AI21" s="1" t="s">
        <v>3373</v>
      </c>
      <c r="AJ21" s="91" t="str">
        <f>LOOKUP(AJ18,(AA7:AA84),(AC7:AC84))</f>
        <v>CrB</v>
      </c>
      <c r="AK21" s="67"/>
      <c r="AL21" s="59"/>
      <c r="BE21" s="85"/>
      <c r="BG21" s="1" t="s">
        <v>2737</v>
      </c>
      <c r="BH21" s="1">
        <f>IF(BH12&gt;0,0,1)</f>
        <v>0</v>
      </c>
      <c r="BK21" s="1" t="s">
        <v>2737</v>
      </c>
      <c r="BL21" s="1">
        <f>IF(BL12&gt;0,0,1)</f>
        <v>0</v>
      </c>
      <c r="BM21" s="266"/>
      <c r="BQ21" s="1" t="s">
        <v>4014</v>
      </c>
      <c r="BR21" s="82">
        <f ca="1">BR20+BR13</f>
        <v>285.60060351940422</v>
      </c>
      <c r="BU21" s="62"/>
      <c r="BV21" s="266"/>
      <c r="BW21" s="270"/>
      <c r="CU21" s="54"/>
      <c r="CV21" s="1" t="s">
        <v>2793</v>
      </c>
      <c r="CW21" s="1">
        <f ca="1">IF(CW20&lt;0,0,CW20)</f>
        <v>0</v>
      </c>
      <c r="CX21" s="54"/>
    </row>
    <row r="22" spans="1:102">
      <c r="A22" s="335">
        <v>15</v>
      </c>
      <c r="B22" s="39" t="str">
        <f t="shared" si="0"/>
        <v>α lyr</v>
      </c>
      <c r="C22" s="39" t="str">
        <f t="shared" si="1"/>
        <v>μ 57</v>
      </c>
      <c r="F22" s="25" t="s">
        <v>1817</v>
      </c>
      <c r="G22" s="22">
        <v>19</v>
      </c>
      <c r="H22" s="22">
        <v>25</v>
      </c>
      <c r="I22" s="22">
        <v>29.9</v>
      </c>
      <c r="J22" s="22">
        <v>3</v>
      </c>
      <c r="K22" s="22">
        <v>6</v>
      </c>
      <c r="L22" s="22">
        <v>53</v>
      </c>
      <c r="M22" s="22" t="s">
        <v>49</v>
      </c>
      <c r="N22" s="23" t="s">
        <v>50</v>
      </c>
      <c r="R22" s="312" t="s">
        <v>2847</v>
      </c>
      <c r="S22" s="39"/>
      <c r="T22" s="318">
        <f>IF(T18=0,"a",1)</f>
        <v>1</v>
      </c>
      <c r="V22" s="59"/>
      <c r="X22" s="42" t="s">
        <v>3006</v>
      </c>
      <c r="Y22" s="42" t="s">
        <v>42</v>
      </c>
      <c r="AA22" s="42" t="s">
        <v>60</v>
      </c>
      <c r="AB22" s="42" t="s">
        <v>3039</v>
      </c>
      <c r="AC22" s="42" t="s">
        <v>1822</v>
      </c>
      <c r="AD22" s="42" t="s">
        <v>3040</v>
      </c>
      <c r="AE22" s="42" t="s">
        <v>3041</v>
      </c>
      <c r="AF22" s="42"/>
      <c r="AI22" s="1" t="s">
        <v>3374</v>
      </c>
      <c r="AJ22" s="91" t="str">
        <f>LOOKUP(AJ18,(AA7:AA84),(AD7:AD84))</f>
        <v>Βόρειος Στέφανος</v>
      </c>
      <c r="AK22" s="67"/>
      <c r="AL22" s="59"/>
      <c r="BE22" s="85"/>
      <c r="BH22" s="1">
        <f>IF(BH14&gt;0,0,1)</f>
        <v>0</v>
      </c>
      <c r="BL22" s="1">
        <f>IF(BL14&gt;0,0,1)</f>
        <v>0</v>
      </c>
      <c r="BM22" s="266"/>
      <c r="BN22" s="1" t="s">
        <v>4007</v>
      </c>
      <c r="BO22" s="371">
        <v>23.45</v>
      </c>
      <c r="BQ22" s="1" t="s">
        <v>4015</v>
      </c>
      <c r="BR22" s="433">
        <f ca="1">BR21-360</f>
        <v>-74.399396480595783</v>
      </c>
      <c r="BT22" s="71" t="s">
        <v>4016</v>
      </c>
      <c r="BU22" s="618">
        <f ca="1">SIN(RADIANS(BU15))</f>
        <v>-0.96315973410399791</v>
      </c>
      <c r="BV22" s="266"/>
      <c r="BW22" s="270"/>
      <c r="CU22" s="54"/>
      <c r="CV22" s="1" t="s">
        <v>2794</v>
      </c>
      <c r="CW22" s="288">
        <f ca="1">IF(CW21&gt;12,0,CW21)</f>
        <v>0</v>
      </c>
      <c r="CX22" s="54"/>
    </row>
    <row r="23" spans="1:102">
      <c r="A23" s="335">
        <v>16</v>
      </c>
      <c r="B23" s="39" t="str">
        <f t="shared" si="0"/>
        <v>α lyr</v>
      </c>
      <c r="C23" s="39" t="str">
        <f t="shared" si="1"/>
        <v>μ 57</v>
      </c>
      <c r="F23" s="25" t="s">
        <v>1818</v>
      </c>
      <c r="G23" s="22">
        <v>18</v>
      </c>
      <c r="H23" s="22">
        <v>59</v>
      </c>
      <c r="I23" s="22">
        <v>37.4</v>
      </c>
      <c r="J23" s="22">
        <v>15</v>
      </c>
      <c r="K23" s="22">
        <v>4</v>
      </c>
      <c r="L23" s="22">
        <v>6</v>
      </c>
      <c r="M23" s="22" t="s">
        <v>51</v>
      </c>
      <c r="N23" s="23" t="s">
        <v>52</v>
      </c>
      <c r="R23" s="312" t="s">
        <v>2676</v>
      </c>
      <c r="S23" s="39" t="b">
        <v>0</v>
      </c>
      <c r="T23" s="318" t="b">
        <f>ISNUMBER(T22)</f>
        <v>1</v>
      </c>
      <c r="V23" s="59"/>
      <c r="X23" s="42" t="s">
        <v>3042</v>
      </c>
      <c r="Y23" s="42" t="s">
        <v>60</v>
      </c>
      <c r="AA23" s="42" t="s">
        <v>1678</v>
      </c>
      <c r="AB23" s="42" t="s">
        <v>3009</v>
      </c>
      <c r="AC23" s="42" t="s">
        <v>2618</v>
      </c>
      <c r="AD23" s="42" t="s">
        <v>3043</v>
      </c>
      <c r="AE23" s="42" t="s">
        <v>3044</v>
      </c>
      <c r="AF23" s="42"/>
      <c r="AI23" s="1" t="s">
        <v>3375</v>
      </c>
      <c r="AJ23" s="343"/>
      <c r="AK23" s="67"/>
      <c r="AL23" s="59"/>
      <c r="AP23" s="63" t="s">
        <v>2759</v>
      </c>
      <c r="BE23" s="85"/>
      <c r="BH23" s="1">
        <f>IF(BH16&gt;0,0,1)</f>
        <v>0</v>
      </c>
      <c r="BL23" s="1">
        <f>IF(BL16&gt;0,0,1)</f>
        <v>0</v>
      </c>
      <c r="BM23" s="266"/>
      <c r="BQ23" s="1" t="s">
        <v>4017</v>
      </c>
      <c r="BR23" s="291">
        <f ca="1">IF(BR22&lt;0,BR21,BR22)</f>
        <v>285.60060351940422</v>
      </c>
      <c r="BT23" s="71" t="s">
        <v>4018</v>
      </c>
      <c r="BU23" s="618">
        <f ca="1">COS(RADIANS(BU15))</f>
        <v>0.26892996597760549</v>
      </c>
      <c r="BV23" s="266"/>
      <c r="BW23" s="270"/>
      <c r="CU23" s="54"/>
      <c r="CV23" s="1" t="s">
        <v>2795</v>
      </c>
      <c r="CW23" s="1">
        <f ca="1">IF(CW20&lt;-12,CW20,0)</f>
        <v>0</v>
      </c>
      <c r="CX23" s="54"/>
    </row>
    <row r="24" spans="1:102" ht="18.75">
      <c r="A24" s="335">
        <v>17</v>
      </c>
      <c r="B24" s="39" t="str">
        <f t="shared" si="0"/>
        <v>α lyr</v>
      </c>
      <c r="C24" s="39" t="str">
        <f t="shared" si="1"/>
        <v>μ 57</v>
      </c>
      <c r="F24" s="25" t="s">
        <v>1819</v>
      </c>
      <c r="G24" s="22">
        <v>19</v>
      </c>
      <c r="H24" s="22">
        <v>5</v>
      </c>
      <c r="I24" s="22">
        <v>24.6</v>
      </c>
      <c r="J24" s="22">
        <v>13</v>
      </c>
      <c r="K24" s="22">
        <v>51</v>
      </c>
      <c r="L24" s="22">
        <v>48</v>
      </c>
      <c r="M24" s="22" t="s">
        <v>53</v>
      </c>
      <c r="N24" s="23" t="s">
        <v>54</v>
      </c>
      <c r="R24" s="320" t="s">
        <v>2850</v>
      </c>
      <c r="S24" s="321" t="s">
        <v>2851</v>
      </c>
      <c r="T24" s="322" t="str">
        <f>IF(T23=S23,0,T18)</f>
        <v>lyr</v>
      </c>
      <c r="V24" s="59"/>
      <c r="X24" s="42" t="s">
        <v>3045</v>
      </c>
      <c r="Y24" s="42" t="s">
        <v>60</v>
      </c>
      <c r="AA24" s="42" t="s">
        <v>3046</v>
      </c>
      <c r="AB24" s="42" t="s">
        <v>3047</v>
      </c>
      <c r="AC24" s="42" t="s">
        <v>2033</v>
      </c>
      <c r="AD24" s="42" t="s">
        <v>3048</v>
      </c>
      <c r="AE24" s="42" t="s">
        <v>3049</v>
      </c>
      <c r="AF24" s="42"/>
      <c r="AJ24" s="60" t="str">
        <f>LOOKUP(AJ19,(AA7:AA84),(AA7:AA84))</f>
        <v>Corona Borealis</v>
      </c>
      <c r="AK24" s="67"/>
      <c r="AL24" s="59"/>
      <c r="AP24" s="261" t="s">
        <v>2717</v>
      </c>
      <c r="AQ24" s="262"/>
      <c r="AR24" s="262"/>
      <c r="AS24" s="262"/>
      <c r="AT24" s="262"/>
      <c r="AU24" s="262"/>
      <c r="AV24" s="262"/>
      <c r="AW24" s="5" t="s">
        <v>2718</v>
      </c>
      <c r="AX24" s="262"/>
      <c r="AY24" s="262"/>
      <c r="AZ24" s="257"/>
      <c r="BE24" s="85"/>
      <c r="BG24" s="1" t="s">
        <v>2736</v>
      </c>
      <c r="BH24" s="87">
        <f>BH21+BH22+BH23</f>
        <v>0</v>
      </c>
      <c r="BK24" s="1" t="s">
        <v>2736</v>
      </c>
      <c r="BL24" s="87">
        <f>BL21+BL22+BL23</f>
        <v>0</v>
      </c>
      <c r="BM24" s="266"/>
      <c r="BN24" s="1" t="s">
        <v>4010</v>
      </c>
      <c r="BO24" s="444">
        <v>0.39794863130761038</v>
      </c>
      <c r="BQ24" s="612" t="s">
        <v>4019</v>
      </c>
      <c r="BR24" s="619">
        <f ca="1">BR23</f>
        <v>285.60060351940422</v>
      </c>
      <c r="BT24" s="620" t="s">
        <v>4020</v>
      </c>
      <c r="BU24" s="621">
        <f>SIN(RADIANS(BU16))</f>
        <v>0.88083399425678488</v>
      </c>
      <c r="BV24" s="266"/>
      <c r="BW24" s="270"/>
      <c r="CU24" s="54"/>
      <c r="CV24" s="1" t="s">
        <v>2796</v>
      </c>
      <c r="CW24" s="1">
        <f ca="1">CW23+24</f>
        <v>24</v>
      </c>
      <c r="CX24" s="54"/>
    </row>
    <row r="25" spans="1:102">
      <c r="A25" s="335">
        <v>18</v>
      </c>
      <c r="B25" s="39" t="str">
        <f t="shared" si="0"/>
        <v>α lyr</v>
      </c>
      <c r="C25" s="39" t="str">
        <f t="shared" si="1"/>
        <v>μ 57</v>
      </c>
      <c r="F25" s="41" t="s">
        <v>3846</v>
      </c>
      <c r="G25" s="22">
        <v>19</v>
      </c>
      <c r="H25" s="22">
        <v>52</v>
      </c>
      <c r="I25" s="22">
        <v>28.4</v>
      </c>
      <c r="J25" s="22">
        <v>1</v>
      </c>
      <c r="K25" s="22">
        <v>0</v>
      </c>
      <c r="L25" s="22">
        <v>20</v>
      </c>
      <c r="M25" s="22" t="s">
        <v>3926</v>
      </c>
      <c r="N25" s="23" t="s">
        <v>3848</v>
      </c>
      <c r="S25" s="313" t="s">
        <v>2849</v>
      </c>
      <c r="T25" s="275" t="str">
        <f>IF(T21=0,T16,T21)</f>
        <v>α</v>
      </c>
      <c r="V25" s="59"/>
      <c r="X25" s="42" t="s">
        <v>3050</v>
      </c>
      <c r="Y25" s="42" t="s">
        <v>60</v>
      </c>
      <c r="AA25" s="42" t="s">
        <v>491</v>
      </c>
      <c r="AB25" s="42" t="s">
        <v>3051</v>
      </c>
      <c r="AC25" s="42" t="s">
        <v>2033</v>
      </c>
      <c r="AD25" s="42" t="s">
        <v>3048</v>
      </c>
      <c r="AE25" s="42" t="s">
        <v>3049</v>
      </c>
      <c r="AF25" s="42"/>
      <c r="AI25" s="1" t="s">
        <v>3372</v>
      </c>
      <c r="AJ25" s="91" t="str">
        <f>IF(AJ24="a","",AJ24)</f>
        <v>Corona Borealis</v>
      </c>
      <c r="AK25" s="67"/>
      <c r="AL25" s="59"/>
      <c r="AP25" s="43" t="s">
        <v>9</v>
      </c>
      <c r="AQ25" s="39"/>
      <c r="AR25" s="39"/>
      <c r="AS25" s="61">
        <f>AJ39</f>
        <v>18</v>
      </c>
      <c r="AT25" s="39"/>
      <c r="AU25" s="39"/>
      <c r="AV25" s="39"/>
      <c r="AW25" s="39" t="s">
        <v>12</v>
      </c>
      <c r="AX25" s="39"/>
      <c r="AY25" s="39"/>
      <c r="AZ25" s="61">
        <f>AJ57</f>
        <v>18</v>
      </c>
      <c r="BE25" s="85"/>
      <c r="BG25" s="1" t="s">
        <v>2738</v>
      </c>
      <c r="BH25" s="1">
        <f>IF(BH20=3,1,0)</f>
        <v>1</v>
      </c>
      <c r="BK25" s="1" t="s">
        <v>2738</v>
      </c>
      <c r="BL25" s="1">
        <f>IF(BL20=3,1,0)</f>
        <v>1</v>
      </c>
      <c r="BM25" s="266"/>
      <c r="BN25" s="1" t="s">
        <v>4013</v>
      </c>
      <c r="BO25" s="444">
        <v>0.91740769935748823</v>
      </c>
      <c r="BQ25" s="307" t="s">
        <v>4021</v>
      </c>
      <c r="BR25" s="613">
        <f>BR14</f>
        <v>61.743131859113014</v>
      </c>
      <c r="BT25" s="620" t="s">
        <v>4022</v>
      </c>
      <c r="BU25" s="621">
        <f>COS(RADIANS(BU16))</f>
        <v>0.47342525762958437</v>
      </c>
      <c r="BV25" s="266"/>
      <c r="BW25" s="270"/>
      <c r="CU25" s="54"/>
      <c r="CV25" s="1" t="s">
        <v>2797</v>
      </c>
      <c r="CW25" s="288">
        <f ca="1">IF(CW24=24,0,CW24)</f>
        <v>0</v>
      </c>
      <c r="CX25" s="54"/>
    </row>
    <row r="26" spans="1:102">
      <c r="A26" s="335">
        <v>19</v>
      </c>
      <c r="B26" s="39" t="str">
        <f t="shared" si="0"/>
        <v>α lyr</v>
      </c>
      <c r="C26" s="39" t="str">
        <f t="shared" si="1"/>
        <v>μ 57</v>
      </c>
      <c r="F26" s="25" t="s">
        <v>1820</v>
      </c>
      <c r="G26" s="22">
        <v>20</v>
      </c>
      <c r="H26" s="22">
        <v>11</v>
      </c>
      <c r="I26" s="22">
        <v>18.3</v>
      </c>
      <c r="J26" s="22">
        <v>0</v>
      </c>
      <c r="K26" s="22">
        <v>-49</v>
      </c>
      <c r="L26" s="22">
        <v>-17</v>
      </c>
      <c r="M26" s="22" t="s">
        <v>55</v>
      </c>
      <c r="N26" s="23" t="s">
        <v>56</v>
      </c>
      <c r="S26" s="323" t="s">
        <v>2851</v>
      </c>
      <c r="T26" s="275" t="str">
        <f>T24</f>
        <v>lyr</v>
      </c>
      <c r="V26" s="59"/>
      <c r="X26" s="42" t="s">
        <v>3040</v>
      </c>
      <c r="Y26" s="42" t="s">
        <v>60</v>
      </c>
      <c r="AA26" s="42" t="s">
        <v>511</v>
      </c>
      <c r="AB26" s="42" t="s">
        <v>3052</v>
      </c>
      <c r="AC26" s="42" t="s">
        <v>2043</v>
      </c>
      <c r="AD26" s="42" t="s">
        <v>3053</v>
      </c>
      <c r="AE26" s="42" t="s">
        <v>3054</v>
      </c>
      <c r="AF26" s="42"/>
      <c r="AI26" s="1" t="s">
        <v>2728</v>
      </c>
      <c r="AJ26" s="91" t="str">
        <f>LOOKUP(AJ18,(AA7:AA84),(AB7:AB84))</f>
        <v>(7)α</v>
      </c>
      <c r="AK26" s="67"/>
      <c r="AL26" s="59"/>
      <c r="AP26" s="43" t="s">
        <v>2730</v>
      </c>
      <c r="AQ26" s="39"/>
      <c r="AR26" s="39"/>
      <c r="AS26" s="61">
        <f>AJ40</f>
        <v>36</v>
      </c>
      <c r="AT26" s="39"/>
      <c r="AU26" s="39"/>
      <c r="AV26" s="39"/>
      <c r="AW26" s="39" t="s">
        <v>2730</v>
      </c>
      <c r="AX26" s="39"/>
      <c r="AY26" s="39"/>
      <c r="AZ26" s="61">
        <f>AJ58</f>
        <v>53</v>
      </c>
      <c r="BE26" s="85"/>
      <c r="BG26" s="1" t="s">
        <v>2739</v>
      </c>
      <c r="BH26" s="1">
        <f>IF(BH24=3,1,0)</f>
        <v>0</v>
      </c>
      <c r="BK26" s="1" t="s">
        <v>2739</v>
      </c>
      <c r="BL26" s="1">
        <f>IF(BL24=3,1,0)</f>
        <v>0</v>
      </c>
      <c r="BM26" s="266"/>
      <c r="BN26" s="1" t="s">
        <v>4023</v>
      </c>
      <c r="BO26" s="62">
        <f>15*BO13</f>
        <v>279.23458333333332</v>
      </c>
      <c r="BV26" s="266"/>
      <c r="BW26" s="270"/>
      <c r="CU26" s="54"/>
      <c r="CV26" s="1" t="s">
        <v>2798</v>
      </c>
      <c r="CW26" s="289">
        <f ca="1">CW25+CW22</f>
        <v>0</v>
      </c>
      <c r="CX26" s="54"/>
    </row>
    <row r="27" spans="1:102">
      <c r="A27" s="335">
        <v>20</v>
      </c>
      <c r="B27" s="39" t="str">
        <f t="shared" si="0"/>
        <v>α lyr</v>
      </c>
      <c r="C27" s="39" t="str">
        <f t="shared" si="1"/>
        <v>μ 57</v>
      </c>
      <c r="F27" s="41" t="s">
        <v>3845</v>
      </c>
      <c r="G27" s="22">
        <v>19</v>
      </c>
      <c r="H27" s="22">
        <v>36</v>
      </c>
      <c r="I27" s="22">
        <v>43.3</v>
      </c>
      <c r="J27" s="22">
        <v>-1</v>
      </c>
      <c r="K27" s="22">
        <v>-17</v>
      </c>
      <c r="L27" s="22">
        <v>-12</v>
      </c>
      <c r="M27" s="22" t="s">
        <v>3927</v>
      </c>
      <c r="N27" s="23" t="s">
        <v>3849</v>
      </c>
      <c r="V27" s="59"/>
      <c r="X27" s="42" t="s">
        <v>3055</v>
      </c>
      <c r="Y27" s="42" t="s">
        <v>79</v>
      </c>
      <c r="AA27" s="42" t="s">
        <v>543</v>
      </c>
      <c r="AB27" s="42" t="s">
        <v>3056</v>
      </c>
      <c r="AC27" s="42" t="s">
        <v>2059</v>
      </c>
      <c r="AD27" s="42" t="s">
        <v>3057</v>
      </c>
      <c r="AE27" s="42" t="s">
        <v>3058</v>
      </c>
      <c r="AF27" s="42"/>
      <c r="AI27" s="63" t="s">
        <v>2753</v>
      </c>
      <c r="AK27" s="67"/>
      <c r="AL27" s="59"/>
      <c r="AP27" s="43" t="s">
        <v>2731</v>
      </c>
      <c r="AQ27" s="39"/>
      <c r="AR27" s="39"/>
      <c r="AS27" s="61">
        <f>AJ41</f>
        <v>56.3</v>
      </c>
      <c r="AT27" s="39"/>
      <c r="AU27" s="39"/>
      <c r="AV27" s="39"/>
      <c r="AW27" s="39" t="s">
        <v>2731</v>
      </c>
      <c r="AX27" s="39"/>
      <c r="AY27" s="39"/>
      <c r="AZ27" s="61">
        <f>AJ59</f>
        <v>35.1</v>
      </c>
      <c r="BE27" s="85"/>
      <c r="BG27" s="1" t="s">
        <v>2740</v>
      </c>
      <c r="BH27" s="59">
        <f>BH25+BH26</f>
        <v>1</v>
      </c>
      <c r="BK27" s="1" t="s">
        <v>2740</v>
      </c>
      <c r="BL27" s="59">
        <f>BL25+BL26</f>
        <v>1</v>
      </c>
      <c r="BM27" s="266"/>
      <c r="BN27" s="71" t="s">
        <v>4024</v>
      </c>
      <c r="BO27" s="618">
        <f>SIN(RADIANS(BO26))</f>
        <v>-0.98703958208886999</v>
      </c>
      <c r="BT27" s="622" t="s">
        <v>4025</v>
      </c>
      <c r="BU27" s="1">
        <f ca="1">BU22*BU25</f>
        <v>-0.45598414525662717</v>
      </c>
      <c r="BV27" s="266"/>
      <c r="BW27" s="270"/>
      <c r="CU27" s="54"/>
      <c r="CV27" s="1" t="s">
        <v>2799</v>
      </c>
      <c r="CW27" s="82" t="str">
        <f ca="1">IF(CW26&gt;0,"ΔΥΤΙΚΑ","")</f>
        <v/>
      </c>
      <c r="CX27" s="54"/>
    </row>
    <row r="28" spans="1:102">
      <c r="A28" s="335">
        <v>21</v>
      </c>
      <c r="B28" s="39" t="str">
        <f t="shared" si="0"/>
        <v>α lyr</v>
      </c>
      <c r="C28" s="39" t="str">
        <f t="shared" si="1"/>
        <v>μ 57</v>
      </c>
      <c r="F28" s="25" t="s">
        <v>1821</v>
      </c>
      <c r="G28" s="22">
        <v>19</v>
      </c>
      <c r="H28" s="22">
        <v>6</v>
      </c>
      <c r="I28" s="22">
        <v>14.9</v>
      </c>
      <c r="J28" s="22">
        <v>-4</v>
      </c>
      <c r="K28" s="22">
        <v>-52</v>
      </c>
      <c r="L28" s="22">
        <v>-57</v>
      </c>
      <c r="M28" s="22" t="s">
        <v>57</v>
      </c>
      <c r="N28" s="23" t="s">
        <v>58</v>
      </c>
      <c r="V28" s="59"/>
      <c r="X28" s="42" t="s">
        <v>3059</v>
      </c>
      <c r="Y28" s="42" t="s">
        <v>79</v>
      </c>
      <c r="AA28" s="42" t="s">
        <v>517</v>
      </c>
      <c r="AB28" s="42" t="s">
        <v>3060</v>
      </c>
      <c r="AC28" s="42" t="s">
        <v>2046</v>
      </c>
      <c r="AD28" s="42" t="s">
        <v>3061</v>
      </c>
      <c r="AE28" s="42" t="s">
        <v>3062</v>
      </c>
      <c r="AF28" s="42"/>
      <c r="AJ28" s="267">
        <f>LOOKUP(AJ18,(AA7:AA84),(AF7:AF84))</f>
        <v>0</v>
      </c>
      <c r="AK28" s="67"/>
      <c r="AL28" s="59"/>
      <c r="AP28" s="43"/>
      <c r="AQ28" s="39"/>
      <c r="AR28" s="39"/>
      <c r="AS28" s="39"/>
      <c r="AT28" s="39"/>
      <c r="AU28" s="39"/>
      <c r="AV28" s="39"/>
      <c r="AW28" s="39"/>
      <c r="AX28" s="39"/>
      <c r="AY28" s="39"/>
      <c r="AZ28" s="259"/>
      <c r="BE28" s="85"/>
      <c r="BG28" s="1" t="s">
        <v>2741</v>
      </c>
      <c r="BH28" s="1">
        <f>BH16/60</f>
        <v>0.93833333333333324</v>
      </c>
      <c r="BK28" s="1" t="s">
        <v>2741</v>
      </c>
      <c r="BL28" s="1">
        <f>BL16/60</f>
        <v>1.6666666666666666E-2</v>
      </c>
      <c r="BM28" s="266"/>
      <c r="BN28" s="71" t="s">
        <v>4026</v>
      </c>
      <c r="BO28" s="618">
        <f>COS(RADIANS(BO26))</f>
        <v>0.16047698710353703</v>
      </c>
      <c r="BT28" s="622" t="s">
        <v>4027</v>
      </c>
      <c r="BU28" s="1">
        <f ca="1">BU27/BU20</f>
        <v>-0.49703544626448881</v>
      </c>
      <c r="BV28" s="266"/>
      <c r="BW28" s="270"/>
      <c r="CU28" s="54"/>
      <c r="CV28" s="290" t="s">
        <v>2800</v>
      </c>
      <c r="CX28" s="54"/>
    </row>
    <row r="29" spans="1:102">
      <c r="A29" s="335">
        <v>22</v>
      </c>
      <c r="B29" s="39" t="str">
        <f t="shared" si="0"/>
        <v>α lyr</v>
      </c>
      <c r="C29" s="39" t="str">
        <f t="shared" si="1"/>
        <v>μ 57</v>
      </c>
      <c r="F29" s="27" t="s">
        <v>1822</v>
      </c>
      <c r="G29" s="26"/>
      <c r="H29" s="26"/>
      <c r="I29" s="26"/>
      <c r="J29" s="26"/>
      <c r="K29" s="26"/>
      <c r="L29" s="26"/>
      <c r="M29" s="26" t="s">
        <v>59</v>
      </c>
      <c r="N29" s="26" t="s">
        <v>60</v>
      </c>
      <c r="R29" s="324" t="s">
        <v>2667</v>
      </c>
      <c r="S29" s="310" t="s">
        <v>2842</v>
      </c>
      <c r="T29" s="311" t="str">
        <f>T14</f>
        <v>m 57</v>
      </c>
      <c r="V29" s="59"/>
      <c r="X29" s="42" t="s">
        <v>3063</v>
      </c>
      <c r="Y29" s="42" t="s">
        <v>79</v>
      </c>
      <c r="AA29" s="42" t="s">
        <v>1544</v>
      </c>
      <c r="AB29" s="42" t="s">
        <v>3032</v>
      </c>
      <c r="AC29" s="42" t="s">
        <v>2563</v>
      </c>
      <c r="AD29" s="42" t="s">
        <v>3064</v>
      </c>
      <c r="AE29" s="42" t="s">
        <v>3065</v>
      </c>
      <c r="AF29" s="42"/>
      <c r="AI29" s="1" t="s">
        <v>3376</v>
      </c>
      <c r="AK29" s="67"/>
      <c r="AL29" s="59"/>
      <c r="AP29" s="43"/>
      <c r="AQ29" s="39"/>
      <c r="AR29" s="39"/>
      <c r="AS29" s="39"/>
      <c r="AT29" s="39"/>
      <c r="AU29" s="39"/>
      <c r="AV29" s="39"/>
      <c r="AW29" s="39"/>
      <c r="AX29" s="39"/>
      <c r="AY29" s="39"/>
      <c r="AZ29" s="259"/>
      <c r="BE29" s="85"/>
      <c r="BG29" s="1" t="s">
        <v>2742</v>
      </c>
      <c r="BH29" s="1">
        <f>(BH28+BH14)/60</f>
        <v>0.61563888888888885</v>
      </c>
      <c r="BK29" s="1" t="s">
        <v>2742</v>
      </c>
      <c r="BL29" s="1">
        <f>(BL28+BL14)/60</f>
        <v>0.78361111111111115</v>
      </c>
      <c r="BM29" s="266"/>
      <c r="BN29" s="620" t="s">
        <v>4028</v>
      </c>
      <c r="BO29" s="621">
        <f>SIN(RADIANS(BO14))</f>
        <v>0.62638086384598812</v>
      </c>
      <c r="BT29" s="622" t="s">
        <v>4029</v>
      </c>
      <c r="BU29" s="1">
        <f ca="1">BU27*BU19/BU20</f>
        <v>-0.19779457555232066</v>
      </c>
      <c r="BV29" s="266"/>
      <c r="BW29" s="270"/>
      <c r="CU29" s="54"/>
      <c r="CV29" s="1" t="s">
        <v>2801</v>
      </c>
      <c r="CW29" s="1">
        <f ca="1">IF(CW20&lt;0,CW20,0)</f>
        <v>-0.27863479814416792</v>
      </c>
      <c r="CX29" s="54"/>
    </row>
    <row r="30" spans="1:102" ht="18.75">
      <c r="A30" s="335">
        <v>23</v>
      </c>
      <c r="B30" s="39" t="str">
        <f t="shared" si="0"/>
        <v>α lyr</v>
      </c>
      <c r="C30" s="39" t="str">
        <f t="shared" si="1"/>
        <v>μ 57</v>
      </c>
      <c r="F30" s="25" t="s">
        <v>1823</v>
      </c>
      <c r="G30" s="22">
        <v>20</v>
      </c>
      <c r="H30" s="22">
        <v>18</v>
      </c>
      <c r="I30" s="22">
        <v>3.3</v>
      </c>
      <c r="J30" s="22">
        <v>-12</v>
      </c>
      <c r="K30" s="22">
        <v>-32</v>
      </c>
      <c r="L30" s="22">
        <v>-41</v>
      </c>
      <c r="M30" s="22" t="s">
        <v>61</v>
      </c>
      <c r="N30" s="23" t="s">
        <v>62</v>
      </c>
      <c r="R30" s="312" t="s">
        <v>2843</v>
      </c>
      <c r="S30" s="313" t="s">
        <v>2844</v>
      </c>
      <c r="T30" s="314" t="str">
        <f>LEFT(T29,(FIND(" ",T29,1)-1))</f>
        <v>m</v>
      </c>
      <c r="V30" s="59"/>
      <c r="X30" s="42" t="s">
        <v>3066</v>
      </c>
      <c r="Y30" s="42" t="s">
        <v>79</v>
      </c>
      <c r="AA30" s="42" t="s">
        <v>3067</v>
      </c>
      <c r="AB30" s="42" t="s">
        <v>3068</v>
      </c>
      <c r="AC30" s="42" t="s">
        <v>2083</v>
      </c>
      <c r="AD30" s="42" t="s">
        <v>3069</v>
      </c>
      <c r="AE30" s="42" t="s">
        <v>3070</v>
      </c>
      <c r="AF30" s="42"/>
      <c r="AJ30" s="92" t="str">
        <f>IF(AJ28=AF83,"2) Υπάρχουν μόνο οι ορατοί από την Ελλάδα αστερισμοί.","")</f>
        <v/>
      </c>
      <c r="AK30" s="67"/>
      <c r="AL30" s="59"/>
      <c r="AP30" s="263" t="s">
        <v>2719</v>
      </c>
      <c r="AQ30" s="39"/>
      <c r="AR30" s="39"/>
      <c r="AS30" s="39"/>
      <c r="AT30" s="39"/>
      <c r="AU30" s="39"/>
      <c r="AV30" s="39"/>
      <c r="AW30" s="75" t="s">
        <v>2720</v>
      </c>
      <c r="AX30" s="39"/>
      <c r="AY30" s="39"/>
      <c r="AZ30" s="259"/>
      <c r="BE30" s="85"/>
      <c r="BF30" s="63" t="s">
        <v>2672</v>
      </c>
      <c r="BG30" s="1" t="s">
        <v>2743</v>
      </c>
      <c r="BH30" s="73">
        <f>BH29+BH12</f>
        <v>18.615638888888888</v>
      </c>
      <c r="BJ30" s="63" t="s">
        <v>2672</v>
      </c>
      <c r="BK30" s="1" t="s">
        <v>2743</v>
      </c>
      <c r="BL30" s="73">
        <f>BL29+BL12</f>
        <v>38.783611111111114</v>
      </c>
      <c r="BM30" s="266"/>
      <c r="BN30" s="620" t="s">
        <v>4030</v>
      </c>
      <c r="BO30" s="621">
        <f>COS(RADIANS(BO14))</f>
        <v>0.77951716684596095</v>
      </c>
      <c r="BT30" s="622" t="s">
        <v>4031</v>
      </c>
      <c r="BU30" s="1">
        <f ca="1">BU29+BU24</f>
        <v>0.68303941870446416</v>
      </c>
      <c r="BV30" s="266"/>
      <c r="BW30" s="270"/>
      <c r="CU30" s="54"/>
      <c r="CV30" s="1" t="s">
        <v>2802</v>
      </c>
      <c r="CW30" s="291">
        <f ca="1">IF(CW29&gt;-12,CW29,0)</f>
        <v>-0.27863479814416792</v>
      </c>
      <c r="CX30" s="54"/>
    </row>
    <row r="31" spans="1:102">
      <c r="A31" s="335">
        <v>24</v>
      </c>
      <c r="B31" s="39" t="str">
        <f t="shared" si="0"/>
        <v>α lyr</v>
      </c>
      <c r="C31" s="39" t="str">
        <f t="shared" si="1"/>
        <v>μ 57</v>
      </c>
      <c r="F31" s="25" t="s">
        <v>1824</v>
      </c>
      <c r="G31" s="22">
        <v>20</v>
      </c>
      <c r="H31" s="22">
        <v>21</v>
      </c>
      <c r="I31" s="22">
        <v>0.7</v>
      </c>
      <c r="J31" s="22">
        <v>-14</v>
      </c>
      <c r="K31" s="22">
        <v>-46</v>
      </c>
      <c r="L31" s="22">
        <v>-53</v>
      </c>
      <c r="M31" s="22" t="s">
        <v>63</v>
      </c>
      <c r="N31" s="23" t="s">
        <v>64</v>
      </c>
      <c r="R31" s="315" t="s">
        <v>2845</v>
      </c>
      <c r="S31" s="316" t="s">
        <v>2846</v>
      </c>
      <c r="T31" s="317" t="str">
        <f>MID(T29,FIND(" ",T29)+1,256)</f>
        <v>57</v>
      </c>
      <c r="V31" s="59"/>
      <c r="X31" s="42" t="s">
        <v>3071</v>
      </c>
      <c r="Y31" s="42" t="s">
        <v>3380</v>
      </c>
      <c r="AA31" s="42" t="s">
        <v>3072</v>
      </c>
      <c r="AB31" s="42" t="s">
        <v>3068</v>
      </c>
      <c r="AC31" s="42" t="s">
        <v>2083</v>
      </c>
      <c r="AD31" s="42" t="s">
        <v>3069</v>
      </c>
      <c r="AE31" s="42" t="s">
        <v>3070</v>
      </c>
      <c r="AF31" s="42"/>
      <c r="AJ31" s="92" t="str">
        <f>IF(AJ28=0,"",AJ28)</f>
        <v/>
      </c>
      <c r="AK31" s="67"/>
      <c r="AL31" s="59"/>
      <c r="AP31" s="43" t="s">
        <v>9</v>
      </c>
      <c r="AQ31" s="39"/>
      <c r="AR31" s="39"/>
      <c r="AS31" s="61">
        <f>AJ43</f>
        <v>38</v>
      </c>
      <c r="AT31" s="39"/>
      <c r="AU31" s="39"/>
      <c r="AV31" s="39"/>
      <c r="AW31" s="39" t="s">
        <v>12</v>
      </c>
      <c r="AX31" s="39"/>
      <c r="AY31" s="39"/>
      <c r="AZ31" s="61">
        <f>AJ61</f>
        <v>33</v>
      </c>
      <c r="BE31" s="85"/>
      <c r="BF31" s="72">
        <f>IF(BH98=0,BH30,0)</f>
        <v>18.615638888888888</v>
      </c>
      <c r="BJ31" s="72">
        <f>IF(BH98=0,BL30,0)</f>
        <v>38.783611111111114</v>
      </c>
      <c r="BM31" s="266"/>
      <c r="BT31" s="622" t="s">
        <v>4032</v>
      </c>
      <c r="BU31" s="1">
        <f ca="1">BU30*BU20</f>
        <v>0.6266256216841386</v>
      </c>
      <c r="BV31" s="266"/>
      <c r="BW31" s="270"/>
      <c r="CU31" s="54"/>
      <c r="CV31" s="1" t="s">
        <v>2803</v>
      </c>
      <c r="CW31" s="1">
        <f ca="1">IF(CW20&gt;12,CW20,0)</f>
        <v>0</v>
      </c>
      <c r="CX31" s="54"/>
    </row>
    <row r="32" spans="1:102">
      <c r="A32" s="335">
        <v>25</v>
      </c>
      <c r="B32" s="39" t="str">
        <f t="shared" si="0"/>
        <v>α lyr</v>
      </c>
      <c r="C32" s="39" t="str">
        <f t="shared" si="1"/>
        <v>μ 57</v>
      </c>
      <c r="F32" s="25" t="s">
        <v>1825</v>
      </c>
      <c r="G32" s="22">
        <v>21</v>
      </c>
      <c r="H32" s="22">
        <v>40</v>
      </c>
      <c r="I32" s="22">
        <v>5.5</v>
      </c>
      <c r="J32" s="22">
        <v>-16</v>
      </c>
      <c r="K32" s="22">
        <v>-39</v>
      </c>
      <c r="L32" s="22">
        <v>-44</v>
      </c>
      <c r="M32" s="22" t="s">
        <v>65</v>
      </c>
      <c r="N32" s="23" t="s">
        <v>66</v>
      </c>
      <c r="R32" s="312" t="s">
        <v>2847</v>
      </c>
      <c r="S32" s="39"/>
      <c r="T32" s="318">
        <f>IF(T30=0,"a",1)</f>
        <v>1</v>
      </c>
      <c r="V32" s="59"/>
      <c r="X32" s="42" t="s">
        <v>2996</v>
      </c>
      <c r="Y32" s="42" t="s">
        <v>3380</v>
      </c>
      <c r="AA32" s="42" t="s">
        <v>591</v>
      </c>
      <c r="AB32" s="42" t="s">
        <v>3068</v>
      </c>
      <c r="AC32" s="42" t="s">
        <v>2083</v>
      </c>
      <c r="AD32" s="42" t="s">
        <v>3073</v>
      </c>
      <c r="AE32" s="42" t="s">
        <v>3070</v>
      </c>
      <c r="AF32" s="42"/>
      <c r="AK32" s="67"/>
      <c r="AL32" s="59"/>
      <c r="AP32" s="43" t="s">
        <v>2730</v>
      </c>
      <c r="AQ32" s="39"/>
      <c r="AR32" s="39"/>
      <c r="AS32" s="61">
        <f>AJ44</f>
        <v>47</v>
      </c>
      <c r="AT32" s="39"/>
      <c r="AU32" s="39"/>
      <c r="AV32" s="39"/>
      <c r="AW32" s="39" t="s">
        <v>2730</v>
      </c>
      <c r="AX32" s="39"/>
      <c r="AY32" s="39"/>
      <c r="AZ32" s="61">
        <f>AJ62</f>
        <v>1</v>
      </c>
      <c r="BE32" s="85"/>
      <c r="BM32" s="266"/>
      <c r="BN32" s="1" t="s">
        <v>4033</v>
      </c>
      <c r="BO32" s="1">
        <f>BO27*BO30</f>
        <v>-0.7694142985947372</v>
      </c>
      <c r="BT32" s="622" t="s">
        <v>4034</v>
      </c>
      <c r="BU32" s="623">
        <f ca="1">DEGREES(ASIN(RADIANS(DEGREES(BU31))))</f>
        <v>38.801603480624856</v>
      </c>
      <c r="BV32" s="266"/>
      <c r="BW32" s="270"/>
      <c r="CU32" s="54"/>
      <c r="CV32" s="1" t="s">
        <v>2804</v>
      </c>
      <c r="CW32" s="1">
        <f ca="1">CW31-24</f>
        <v>-24</v>
      </c>
      <c r="CX32" s="54"/>
    </row>
    <row r="33" spans="1:102">
      <c r="A33" s="335">
        <v>26</v>
      </c>
      <c r="B33" s="39" t="str">
        <f t="shared" si="0"/>
        <v>α lyr</v>
      </c>
      <c r="C33" s="39" t="str">
        <f t="shared" si="1"/>
        <v>μ 57</v>
      </c>
      <c r="F33" s="25" t="s">
        <v>1826</v>
      </c>
      <c r="G33" s="22">
        <v>21</v>
      </c>
      <c r="H33" s="22">
        <v>47</v>
      </c>
      <c r="I33" s="22">
        <v>2.4</v>
      </c>
      <c r="J33" s="22">
        <v>-16</v>
      </c>
      <c r="K33" s="22">
        <v>-7</v>
      </c>
      <c r="L33" s="22">
        <v>-38</v>
      </c>
      <c r="M33" s="22" t="s">
        <v>67</v>
      </c>
      <c r="N33" s="23" t="s">
        <v>68</v>
      </c>
      <c r="R33" s="312" t="s">
        <v>2676</v>
      </c>
      <c r="S33" s="39" t="b">
        <v>0</v>
      </c>
      <c r="T33" s="318" t="b">
        <f>ISNUMBER(T32)</f>
        <v>1</v>
      </c>
      <c r="V33" s="59"/>
      <c r="X33" s="42" t="s">
        <v>3074</v>
      </c>
      <c r="Y33" s="42" t="s">
        <v>167</v>
      </c>
      <c r="AA33" s="42" t="s">
        <v>1622</v>
      </c>
      <c r="AB33" s="42" t="s">
        <v>3075</v>
      </c>
      <c r="AC33" s="42" t="s">
        <v>3076</v>
      </c>
      <c r="AD33" s="42" t="s">
        <v>3077</v>
      </c>
      <c r="AE33" s="42" t="s">
        <v>3078</v>
      </c>
      <c r="AF33" s="42"/>
      <c r="AK33" s="67"/>
      <c r="AL33" s="59"/>
      <c r="AP33" s="191" t="s">
        <v>2731</v>
      </c>
      <c r="AQ33" s="79"/>
      <c r="AR33" s="79"/>
      <c r="AS33" s="61">
        <f>AJ45</f>
        <v>1</v>
      </c>
      <c r="AT33" s="79"/>
      <c r="AU33" s="79"/>
      <c r="AV33" s="79"/>
      <c r="AW33" s="79" t="s">
        <v>2731</v>
      </c>
      <c r="AX33" s="79"/>
      <c r="AY33" s="79"/>
      <c r="AZ33" s="61">
        <f>AJ63</f>
        <v>45</v>
      </c>
      <c r="BE33" s="85"/>
      <c r="BF33" s="645">
        <f>BF31+BJ31</f>
        <v>57.399250000000002</v>
      </c>
      <c r="BG33" s="1" t="s">
        <v>4109</v>
      </c>
      <c r="BH33" s="1">
        <f>IF(BH11=BG15,1,0)</f>
        <v>0</v>
      </c>
      <c r="BL33" s="1">
        <f>IF(BL11=BK15,1,0)</f>
        <v>0</v>
      </c>
      <c r="BM33" s="266"/>
      <c r="BN33" s="1" t="s">
        <v>4035</v>
      </c>
      <c r="BO33" s="1">
        <f>BO29*BO24/BO25</f>
        <v>0.27170843194292515</v>
      </c>
      <c r="BV33" s="266"/>
      <c r="BW33" s="270"/>
      <c r="CU33" s="54"/>
      <c r="CV33" s="1" t="s">
        <v>2797</v>
      </c>
      <c r="CW33" s="291">
        <f ca="1">IF(CW32=-24,0,CW32)</f>
        <v>0</v>
      </c>
      <c r="CX33" s="54"/>
    </row>
    <row r="34" spans="1:102">
      <c r="A34" s="335">
        <v>27</v>
      </c>
      <c r="B34" s="39" t="str">
        <f t="shared" si="0"/>
        <v>α lyr</v>
      </c>
      <c r="C34" s="39" t="str">
        <f t="shared" si="1"/>
        <v>μ 57</v>
      </c>
      <c r="F34" s="25" t="s">
        <v>1827</v>
      </c>
      <c r="G34" s="22">
        <v>21</v>
      </c>
      <c r="H34" s="22">
        <v>26</v>
      </c>
      <c r="I34" s="22">
        <v>40</v>
      </c>
      <c r="J34" s="22">
        <v>-22</v>
      </c>
      <c r="K34" s="22">
        <v>-24</v>
      </c>
      <c r="L34" s="22">
        <v>-41</v>
      </c>
      <c r="M34" s="22" t="s">
        <v>69</v>
      </c>
      <c r="N34" s="23" t="s">
        <v>70</v>
      </c>
      <c r="R34" s="312" t="s">
        <v>2848</v>
      </c>
      <c r="S34" s="313" t="s">
        <v>2849</v>
      </c>
      <c r="T34" s="319" t="str">
        <f>IF(T33=S33,0,T30)</f>
        <v>m</v>
      </c>
      <c r="V34" s="59"/>
      <c r="X34" s="42" t="s">
        <v>3000</v>
      </c>
      <c r="Y34" s="42" t="s">
        <v>167</v>
      </c>
      <c r="AA34" s="42" t="s">
        <v>1600</v>
      </c>
      <c r="AB34" s="42" t="s">
        <v>3019</v>
      </c>
      <c r="AC34" s="42" t="s">
        <v>3079</v>
      </c>
      <c r="AD34" s="42" t="s">
        <v>3080</v>
      </c>
      <c r="AE34" s="42" t="s">
        <v>3081</v>
      </c>
      <c r="AF34" s="42"/>
      <c r="AK34" s="67"/>
      <c r="AL34" s="59"/>
      <c r="BE34" s="85"/>
      <c r="BH34" s="1">
        <f>IF(BH13=BG15,1,0)</f>
        <v>0</v>
      </c>
      <c r="BL34" s="1">
        <f>IF(BL13=BK15,1,0)</f>
        <v>0</v>
      </c>
      <c r="BM34" s="266"/>
      <c r="BN34" s="622" t="s">
        <v>4036</v>
      </c>
      <c r="BO34" s="1">
        <f>BO29/BO25</f>
        <v>0.68277262582892817</v>
      </c>
      <c r="BT34" s="624" t="s">
        <v>4037</v>
      </c>
      <c r="BV34" s="266"/>
      <c r="BW34" s="270"/>
      <c r="CU34" s="54"/>
      <c r="CV34" s="1" t="s">
        <v>2805</v>
      </c>
      <c r="CW34" s="266">
        <f ca="1">CW30+CW33</f>
        <v>-0.27863479814416792</v>
      </c>
      <c r="CX34" s="54"/>
    </row>
    <row r="35" spans="1:102">
      <c r="A35" s="335">
        <v>28</v>
      </c>
      <c r="B35" s="39" t="str">
        <f t="shared" si="0"/>
        <v>α lyr</v>
      </c>
      <c r="C35" s="39" t="str">
        <f t="shared" si="1"/>
        <v>μ 57</v>
      </c>
      <c r="F35" s="25" t="s">
        <v>1828</v>
      </c>
      <c r="G35" s="22">
        <v>21</v>
      </c>
      <c r="H35" s="22">
        <v>5</v>
      </c>
      <c r="I35" s="22">
        <v>56.8</v>
      </c>
      <c r="J35" s="22">
        <v>-17</v>
      </c>
      <c r="K35" s="22">
        <v>-13</v>
      </c>
      <c r="L35" s="22">
        <v>-58</v>
      </c>
      <c r="M35" s="22" t="s">
        <v>71</v>
      </c>
      <c r="N35" s="23" t="s">
        <v>72</v>
      </c>
      <c r="R35" s="312" t="s">
        <v>2847</v>
      </c>
      <c r="S35" s="39"/>
      <c r="T35" s="318">
        <f>IF(T31=0,"a",1)</f>
        <v>1</v>
      </c>
      <c r="V35" s="59"/>
      <c r="X35" s="42" t="s">
        <v>3082</v>
      </c>
      <c r="Y35" s="42" t="s">
        <v>173</v>
      </c>
      <c r="AA35" s="42" t="s">
        <v>599</v>
      </c>
      <c r="AB35" s="42" t="s">
        <v>3083</v>
      </c>
      <c r="AC35" s="42" t="s">
        <v>2087</v>
      </c>
      <c r="AD35" s="42" t="s">
        <v>3084</v>
      </c>
      <c r="AE35" s="42" t="s">
        <v>3085</v>
      </c>
      <c r="AF35" s="42"/>
      <c r="AK35" s="67"/>
      <c r="AL35" s="59"/>
      <c r="AO35" s="1" t="s">
        <v>2823</v>
      </c>
      <c r="AP35" s="1">
        <f>BF31+BJ31</f>
        <v>57.399250000000002</v>
      </c>
      <c r="AQ35" s="1">
        <f>IF(AP35=0,1,0)</f>
        <v>0</v>
      </c>
      <c r="BE35" s="85"/>
      <c r="BH35" s="1">
        <f>IF(BH15=BG15,1,0)</f>
        <v>0</v>
      </c>
      <c r="BL35" s="1">
        <f>IF(BL15=BK15,1,0)</f>
        <v>0</v>
      </c>
      <c r="BM35" s="266"/>
      <c r="BN35" s="1" t="s">
        <v>4038</v>
      </c>
      <c r="BO35" s="1">
        <f>BO32+BO33</f>
        <v>-0.49770586665181205</v>
      </c>
      <c r="BT35" s="393" t="s">
        <v>4039</v>
      </c>
      <c r="BU35" s="62">
        <f ca="1">BU31</f>
        <v>0.6266256216841386</v>
      </c>
      <c r="BV35" s="266"/>
      <c r="BW35" s="270"/>
      <c r="CU35" s="54"/>
      <c r="CV35" s="1" t="s">
        <v>2806</v>
      </c>
      <c r="CW35" s="82" t="str">
        <f ca="1">IF(CW34&lt;0,"ΑΝΑΤΟΛΙΚΑ","")</f>
        <v>ΑΝΑΤΟΛΙΚΑ</v>
      </c>
      <c r="CX35" s="54"/>
    </row>
    <row r="36" spans="1:102">
      <c r="A36" s="335">
        <v>29</v>
      </c>
      <c r="B36" s="39" t="str">
        <f t="shared" si="0"/>
        <v>α lyr</v>
      </c>
      <c r="C36" s="39" t="str">
        <f t="shared" si="1"/>
        <v>μ 57</v>
      </c>
      <c r="F36" s="25" t="s">
        <v>1829</v>
      </c>
      <c r="G36" s="22">
        <v>21</v>
      </c>
      <c r="H36" s="22">
        <v>22</v>
      </c>
      <c r="I36" s="22">
        <v>14.8</v>
      </c>
      <c r="J36" s="22">
        <v>-16</v>
      </c>
      <c r="K36" s="22">
        <v>-50</v>
      </c>
      <c r="L36" s="22">
        <v>-4</v>
      </c>
      <c r="M36" s="22" t="s">
        <v>73</v>
      </c>
      <c r="N36" s="23" t="s">
        <v>74</v>
      </c>
      <c r="R36" s="312" t="s">
        <v>2676</v>
      </c>
      <c r="S36" s="39" t="b">
        <v>0</v>
      </c>
      <c r="T36" s="318" t="b">
        <f>ISNUMBER(T35)</f>
        <v>1</v>
      </c>
      <c r="V36" s="59"/>
      <c r="X36" s="42" t="s">
        <v>3086</v>
      </c>
      <c r="Y36" s="42" t="s">
        <v>173</v>
      </c>
      <c r="AA36" s="42" t="s">
        <v>611</v>
      </c>
      <c r="AB36" s="42" t="s">
        <v>2999</v>
      </c>
      <c r="AC36" s="42" t="s">
        <v>2093</v>
      </c>
      <c r="AD36" s="42" t="s">
        <v>3087</v>
      </c>
      <c r="AE36" s="42" t="s">
        <v>3088</v>
      </c>
      <c r="AF36" s="42"/>
      <c r="AI36" s="97" t="s">
        <v>2682</v>
      </c>
      <c r="AJ36" s="83"/>
      <c r="AK36" s="67"/>
      <c r="AL36" s="59"/>
      <c r="AO36" s="1" t="s">
        <v>2824</v>
      </c>
      <c r="AP36" s="1">
        <f>BF74+BJ74</f>
        <v>51.922250000000005</v>
      </c>
      <c r="AQ36" s="1">
        <f>IF(AP36=0,1,0)</f>
        <v>0</v>
      </c>
      <c r="BE36" s="85"/>
      <c r="BH36" s="62">
        <f>BH33+BH34+BH35</f>
        <v>0</v>
      </c>
      <c r="BL36" s="62">
        <f>BL33+BL34+BL35</f>
        <v>0</v>
      </c>
      <c r="BM36" s="266"/>
      <c r="BN36" s="1" t="s">
        <v>4040</v>
      </c>
      <c r="BO36" s="1">
        <f>BO35*BO24</f>
        <v>-0.19806136842785665</v>
      </c>
      <c r="BT36" s="393" t="s">
        <v>4041</v>
      </c>
      <c r="BU36" s="1">
        <f ca="1">SQRT(1-(BU35*BU35))</f>
        <v>0.77932042848174254</v>
      </c>
      <c r="BV36" s="266"/>
      <c r="BW36" s="270"/>
      <c r="CU36" s="54"/>
      <c r="CV36" s="63" t="s">
        <v>2807</v>
      </c>
      <c r="CX36" s="54"/>
    </row>
    <row r="37" spans="1:102">
      <c r="A37" s="335">
        <v>30</v>
      </c>
      <c r="B37" s="39" t="str">
        <f t="shared" si="0"/>
        <v>α lyr</v>
      </c>
      <c r="C37" s="39" t="str">
        <f t="shared" si="1"/>
        <v>μ 57</v>
      </c>
      <c r="F37" s="25" t="s">
        <v>1830</v>
      </c>
      <c r="G37" s="22">
        <v>20</v>
      </c>
      <c r="H37" s="22">
        <v>46</v>
      </c>
      <c r="I37" s="22">
        <v>5.7</v>
      </c>
      <c r="J37" s="22">
        <v>-25</v>
      </c>
      <c r="K37" s="22">
        <v>-16</v>
      </c>
      <c r="L37" s="22">
        <v>-15</v>
      </c>
      <c r="M37" s="22" t="s">
        <v>75</v>
      </c>
      <c r="N37" s="23" t="s">
        <v>76</v>
      </c>
      <c r="R37" s="320" t="s">
        <v>2850</v>
      </c>
      <c r="S37" s="321" t="s">
        <v>2851</v>
      </c>
      <c r="T37" s="322" t="str">
        <f>IF(T36=S36,0,T31)</f>
        <v>57</v>
      </c>
      <c r="V37" s="59"/>
      <c r="X37" s="42" t="s">
        <v>3089</v>
      </c>
      <c r="Y37" s="42" t="s">
        <v>173</v>
      </c>
      <c r="AA37" s="42" t="s">
        <v>645</v>
      </c>
      <c r="AB37" s="42" t="s">
        <v>3090</v>
      </c>
      <c r="AC37" s="42" t="s">
        <v>2110</v>
      </c>
      <c r="AD37" s="42" t="s">
        <v>3091</v>
      </c>
      <c r="AE37" s="42" t="s">
        <v>3092</v>
      </c>
      <c r="AF37" s="42"/>
      <c r="AI37" s="56" t="s">
        <v>2683</v>
      </c>
      <c r="AJ37" s="68">
        <f>B1209</f>
        <v>394</v>
      </c>
      <c r="AK37" s="67"/>
      <c r="AL37" s="59"/>
      <c r="AO37" s="1" t="s">
        <v>2825</v>
      </c>
      <c r="AP37" s="82">
        <f>AP35+AP36</f>
        <v>109.32150000000001</v>
      </c>
      <c r="AQ37" s="87">
        <f>AQ35+AQ36</f>
        <v>0</v>
      </c>
      <c r="BE37" s="85"/>
      <c r="BF37" s="1">
        <f>IF(BH37=0,0,1)</f>
        <v>0</v>
      </c>
      <c r="BG37" s="253" t="s">
        <v>2744</v>
      </c>
      <c r="BH37" s="254">
        <f>IF(BH36=0,0,1)</f>
        <v>0</v>
      </c>
      <c r="BJ37" s="1">
        <f>IF(BL37=0,0,1)</f>
        <v>0</v>
      </c>
      <c r="BK37" s="253" t="s">
        <v>2744</v>
      </c>
      <c r="BL37" s="254">
        <f>IF(BL36=0,0,1)</f>
        <v>0</v>
      </c>
      <c r="BM37" s="266"/>
      <c r="BN37" s="1" t="s">
        <v>4042</v>
      </c>
      <c r="BO37" s="1">
        <f>BO34-BO36</f>
        <v>0.88083399425678488</v>
      </c>
      <c r="BT37" s="1" t="s">
        <v>4043</v>
      </c>
      <c r="BU37" s="625">
        <f ca="1">BU30*BU19</f>
        <v>0.27181460180258732</v>
      </c>
      <c r="BV37" s="266"/>
      <c r="BW37" s="270"/>
      <c r="CU37" s="54"/>
      <c r="CV37" s="1" t="s">
        <v>2808</v>
      </c>
      <c r="CW37" s="86">
        <f ca="1">(CW26+CW34)*60</f>
        <v>-16.718087888650075</v>
      </c>
      <c r="CX37" s="54"/>
    </row>
    <row r="38" spans="1:102">
      <c r="A38" s="335">
        <v>31</v>
      </c>
      <c r="B38" s="39" t="str">
        <f t="shared" si="0"/>
        <v>α lyr</v>
      </c>
      <c r="C38" s="39" t="str">
        <f t="shared" si="1"/>
        <v>μ 57</v>
      </c>
      <c r="F38" s="25" t="s">
        <v>1831</v>
      </c>
      <c r="G38" s="22">
        <v>20</v>
      </c>
      <c r="H38" s="22">
        <v>51</v>
      </c>
      <c r="I38" s="22">
        <v>49.3</v>
      </c>
      <c r="J38" s="22">
        <v>-26</v>
      </c>
      <c r="K38" s="22">
        <v>-55</v>
      </c>
      <c r="L38" s="22">
        <v>-9</v>
      </c>
      <c r="M38" s="22" t="s">
        <v>77</v>
      </c>
      <c r="N38" s="23" t="s">
        <v>78</v>
      </c>
      <c r="S38" s="313" t="s">
        <v>2849</v>
      </c>
      <c r="T38" s="275" t="str">
        <f>IF(T34=0,T29,T34)</f>
        <v>m</v>
      </c>
      <c r="V38" s="59"/>
      <c r="X38" s="42" t="s">
        <v>3093</v>
      </c>
      <c r="Y38" s="42" t="s">
        <v>173</v>
      </c>
      <c r="AA38" s="42" t="s">
        <v>230</v>
      </c>
      <c r="AB38" s="42" t="s">
        <v>3094</v>
      </c>
      <c r="AC38" s="42" t="s">
        <v>1899</v>
      </c>
      <c r="AD38" s="42" t="s">
        <v>3095</v>
      </c>
      <c r="AE38" s="42" t="s">
        <v>3096</v>
      </c>
      <c r="AF38" s="42"/>
      <c r="AI38" s="63" t="s">
        <v>2684</v>
      </c>
      <c r="AK38" s="67"/>
      <c r="AL38" s="59"/>
      <c r="AO38" s="1" t="s">
        <v>2826</v>
      </c>
      <c r="BE38" s="85"/>
      <c r="BF38" s="1">
        <f>IF(BH38=0,0,1)</f>
        <v>0</v>
      </c>
      <c r="BG38" s="253" t="s">
        <v>2745</v>
      </c>
      <c r="BH38" s="254">
        <f>IF(BH27&lt;1,2,0)</f>
        <v>0</v>
      </c>
      <c r="BJ38" s="1">
        <f>IF(BL38=0,0,1)</f>
        <v>0</v>
      </c>
      <c r="BK38" s="253" t="s">
        <v>2745</v>
      </c>
      <c r="BL38" s="254">
        <f>IF(BL27&lt;1,2,0)</f>
        <v>0</v>
      </c>
      <c r="BM38" s="266"/>
      <c r="BN38" s="1" t="s">
        <v>4044</v>
      </c>
      <c r="BT38" s="1" t="s">
        <v>4045</v>
      </c>
      <c r="BU38" s="1">
        <f ca="1">BU28-BU37</f>
        <v>-0.76885004806707613</v>
      </c>
      <c r="BV38" s="266"/>
      <c r="BW38" s="270"/>
      <c r="CU38" s="54"/>
      <c r="CV38" s="1" t="s">
        <v>2809</v>
      </c>
      <c r="CW38" s="86">
        <f ca="1">(CW34+CW26)*6</f>
        <v>-1.6718087888650075</v>
      </c>
      <c r="CX38" s="54"/>
    </row>
    <row r="39" spans="1:102">
      <c r="A39" s="335">
        <v>32</v>
      </c>
      <c r="B39" s="39" t="str">
        <f t="shared" si="0"/>
        <v>α lyr</v>
      </c>
      <c r="C39" s="39" t="str">
        <f t="shared" si="1"/>
        <v>μ 57</v>
      </c>
      <c r="F39" s="27" t="s">
        <v>1832</v>
      </c>
      <c r="G39" s="26"/>
      <c r="H39" s="26"/>
      <c r="I39" s="26"/>
      <c r="J39" s="26"/>
      <c r="K39" s="26"/>
      <c r="L39" s="26"/>
      <c r="M39" s="26"/>
      <c r="N39" s="26" t="s">
        <v>79</v>
      </c>
      <c r="S39" s="323" t="s">
        <v>2851</v>
      </c>
      <c r="T39" s="275" t="str">
        <f>T37</f>
        <v>57</v>
      </c>
      <c r="V39" s="59"/>
      <c r="X39" s="42" t="s">
        <v>3097</v>
      </c>
      <c r="Y39" s="42" t="s">
        <v>3098</v>
      </c>
      <c r="AA39" s="42" t="s">
        <v>262</v>
      </c>
      <c r="AB39" s="42" t="s">
        <v>3099</v>
      </c>
      <c r="AC39" s="42" t="s">
        <v>1915</v>
      </c>
      <c r="AD39" s="42" t="s">
        <v>3100</v>
      </c>
      <c r="AE39" s="42" t="s">
        <v>3101</v>
      </c>
      <c r="AF39" s="42"/>
      <c r="AJ39" s="91">
        <f>LOOKUP(AJ37,(A5:A1209),(G5:G1209))</f>
        <v>18</v>
      </c>
      <c r="AK39" s="67"/>
      <c r="AL39" s="59"/>
      <c r="AO39" s="335"/>
      <c r="AW39" s="335"/>
      <c r="BE39" s="85"/>
      <c r="BF39" s="1">
        <f>IF(BH39=0,0,1)</f>
        <v>0</v>
      </c>
      <c r="BG39" s="253" t="s">
        <v>2746</v>
      </c>
      <c r="BH39" s="254">
        <f>IF(BH30&gt;24,3,0)</f>
        <v>0</v>
      </c>
      <c r="BJ39" s="1">
        <f>IF(BL39=0,0,1)</f>
        <v>0</v>
      </c>
      <c r="BK39" s="253" t="s">
        <v>2747</v>
      </c>
      <c r="BL39" s="254">
        <f>IF(BL30&gt;90,3,0)</f>
        <v>0</v>
      </c>
      <c r="BM39" s="266"/>
      <c r="BN39" s="1" t="s">
        <v>4046</v>
      </c>
      <c r="BT39" s="393" t="s">
        <v>4047</v>
      </c>
      <c r="BU39" s="1">
        <f ca="1">IF(BU35=1,0.000000000001,BU36)</f>
        <v>0.77932042848174254</v>
      </c>
      <c r="BV39" s="266"/>
      <c r="BW39" s="270"/>
      <c r="CU39" s="54"/>
      <c r="CV39" s="1" t="s">
        <v>2810</v>
      </c>
      <c r="CW39" s="73">
        <f ca="1">IF(CW37=0,"",CW37)</f>
        <v>-16.718087888650075</v>
      </c>
      <c r="CX39" s="54"/>
    </row>
    <row r="40" spans="1:102">
      <c r="A40" s="335">
        <v>33</v>
      </c>
      <c r="B40" s="39" t="str">
        <f t="shared" si="0"/>
        <v>α lyr</v>
      </c>
      <c r="C40" s="39" t="str">
        <f t="shared" si="1"/>
        <v>μ 57</v>
      </c>
      <c r="F40" s="25" t="s">
        <v>1833</v>
      </c>
      <c r="G40" s="22">
        <v>19</v>
      </c>
      <c r="H40" s="22">
        <v>28</v>
      </c>
      <c r="I40" s="22">
        <v>42.3</v>
      </c>
      <c r="J40" s="22">
        <v>24</v>
      </c>
      <c r="K40" s="22">
        <v>39</v>
      </c>
      <c r="L40" s="22">
        <v>54</v>
      </c>
      <c r="M40" s="22" t="s">
        <v>80</v>
      </c>
      <c r="N40" s="22" t="s">
        <v>81</v>
      </c>
      <c r="V40" s="59"/>
      <c r="X40" s="42" t="s">
        <v>3102</v>
      </c>
      <c r="Y40" s="42" t="s">
        <v>3098</v>
      </c>
      <c r="AA40" s="42" t="s">
        <v>415</v>
      </c>
      <c r="AB40" s="42" t="s">
        <v>3103</v>
      </c>
      <c r="AC40" s="42" t="s">
        <v>1995</v>
      </c>
      <c r="AD40" s="42" t="s">
        <v>3104</v>
      </c>
      <c r="AE40" s="42" t="s">
        <v>3105</v>
      </c>
      <c r="AF40" s="42"/>
      <c r="AJ40" s="91">
        <f>LOOKUP(AJ37,(A5:A1209),(H5:H1209))</f>
        <v>36</v>
      </c>
      <c r="AK40" s="67"/>
      <c r="AL40" s="59"/>
      <c r="AP40" s="344"/>
      <c r="BE40" s="85"/>
      <c r="BF40" s="1">
        <f>IF(BH40=0,0,1)</f>
        <v>0</v>
      </c>
      <c r="BG40" s="253" t="s">
        <v>2748</v>
      </c>
      <c r="BH40" s="254">
        <f>IF(BH30&lt;0,4,0)</f>
        <v>0</v>
      </c>
      <c r="BJ40" s="1">
        <f>IF(BL40=0,0,1)</f>
        <v>0</v>
      </c>
      <c r="BK40" s="253" t="s">
        <v>2749</v>
      </c>
      <c r="BL40" s="254">
        <f>IF(BL30&lt;-90,4,0)</f>
        <v>0</v>
      </c>
      <c r="BM40" s="266"/>
      <c r="BN40" s="63" t="s">
        <v>4048</v>
      </c>
      <c r="BO40" s="623">
        <f>DEGREES(ASIN(RADIANS(DEGREES(BO37))))</f>
        <v>61.743131859113014</v>
      </c>
      <c r="BT40" s="393" t="s">
        <v>4049</v>
      </c>
      <c r="BU40" s="1">
        <f ca="1">IF(BU35=-1,-0.000000000001,BU39)</f>
        <v>0.77932042848174254</v>
      </c>
      <c r="BV40" s="266"/>
      <c r="BW40" s="270"/>
      <c r="CU40" s="54"/>
      <c r="CV40" s="1" t="s">
        <v>2811</v>
      </c>
      <c r="CW40" s="73" t="str">
        <f ca="1">CONCATENATE(CW35,CW27)</f>
        <v>ΑΝΑΤΟΛΙΚΑ</v>
      </c>
      <c r="CX40" s="54"/>
    </row>
    <row r="41" spans="1:102">
      <c r="A41" s="335">
        <v>34</v>
      </c>
      <c r="B41" s="39" t="str">
        <f t="shared" si="0"/>
        <v>α lyr</v>
      </c>
      <c r="C41" s="39" t="str">
        <f t="shared" si="1"/>
        <v>μ 57</v>
      </c>
      <c r="F41" s="27" t="s">
        <v>1834</v>
      </c>
      <c r="G41" s="26"/>
      <c r="H41" s="26"/>
      <c r="I41" s="26"/>
      <c r="J41" s="26"/>
      <c r="K41" s="26"/>
      <c r="L41" s="26"/>
      <c r="M41" s="26" t="s">
        <v>82</v>
      </c>
      <c r="N41" s="26" t="s">
        <v>83</v>
      </c>
      <c r="V41" s="59"/>
      <c r="X41" s="42" t="s">
        <v>3106</v>
      </c>
      <c r="Y41" s="42" t="s">
        <v>3379</v>
      </c>
      <c r="AA41" s="42" t="s">
        <v>385</v>
      </c>
      <c r="AB41" s="42" t="s">
        <v>3107</v>
      </c>
      <c r="AC41" s="42" t="s">
        <v>1979</v>
      </c>
      <c r="AD41" s="42" t="s">
        <v>3108</v>
      </c>
      <c r="AE41" s="42" t="s">
        <v>3109</v>
      </c>
      <c r="AF41" s="42"/>
      <c r="AJ41" s="91">
        <f>LOOKUP(AJ37,(A5:A1209),(I5:I1209))</f>
        <v>56.3</v>
      </c>
      <c r="AK41" s="67"/>
      <c r="AL41" s="59"/>
      <c r="BE41" s="85"/>
      <c r="BF41" s="63" t="s">
        <v>2750</v>
      </c>
      <c r="BG41" s="253" t="s">
        <v>2751</v>
      </c>
      <c r="BH41" s="254">
        <f>IF(BF43&gt;1,5,0)</f>
        <v>0</v>
      </c>
      <c r="BJ41" s="63" t="s">
        <v>2750</v>
      </c>
      <c r="BK41" s="253" t="s">
        <v>2751</v>
      </c>
      <c r="BL41" s="254">
        <f>IF(BJ43&gt;1,5,0)</f>
        <v>0</v>
      </c>
      <c r="BM41" s="266"/>
      <c r="BO41" s="626"/>
      <c r="BT41" s="1" t="s">
        <v>4050</v>
      </c>
      <c r="BU41" s="266">
        <f ca="1">BU38/BU40</f>
        <v>-0.98656472994675037</v>
      </c>
      <c r="BV41" s="266"/>
      <c r="BW41" s="270"/>
      <c r="CU41" s="54"/>
      <c r="CV41" s="1" t="s">
        <v>2707</v>
      </c>
      <c r="CW41" s="73">
        <f ca="1">IF(CW38=0,"",CW38)</f>
        <v>-1.6718087888650075</v>
      </c>
      <c r="CX41" s="54"/>
    </row>
    <row r="42" spans="1:102">
      <c r="A42" s="335">
        <v>35</v>
      </c>
      <c r="B42" s="39" t="str">
        <f t="shared" si="0"/>
        <v>α lyr</v>
      </c>
      <c r="C42" s="39" t="str">
        <f t="shared" si="1"/>
        <v>μ 57</v>
      </c>
      <c r="F42" s="25" t="s">
        <v>1835</v>
      </c>
      <c r="G42" s="22">
        <v>9</v>
      </c>
      <c r="H42" s="22">
        <v>31</v>
      </c>
      <c r="I42" s="22">
        <v>31.7</v>
      </c>
      <c r="J42" s="22">
        <v>63</v>
      </c>
      <c r="K42" s="22">
        <v>3</v>
      </c>
      <c r="L42" s="22">
        <v>43</v>
      </c>
      <c r="M42" s="22" t="s">
        <v>84</v>
      </c>
      <c r="N42" s="22" t="s">
        <v>85</v>
      </c>
      <c r="V42" s="59"/>
      <c r="X42" s="42" t="s">
        <v>3110</v>
      </c>
      <c r="Y42" s="42" t="s">
        <v>3379</v>
      </c>
      <c r="AA42" s="42" t="s">
        <v>475</v>
      </c>
      <c r="AB42" s="42" t="s">
        <v>3111</v>
      </c>
      <c r="AC42" s="42" t="s">
        <v>2025</v>
      </c>
      <c r="AD42" s="42" t="s">
        <v>3112</v>
      </c>
      <c r="AE42" s="42" t="s">
        <v>3113</v>
      </c>
      <c r="AF42" s="42"/>
      <c r="AI42" s="90" t="s">
        <v>2685</v>
      </c>
      <c r="AJ42" s="62"/>
      <c r="AK42" s="67"/>
      <c r="AL42" s="59"/>
      <c r="AP42" s="62"/>
      <c r="BE42" s="85"/>
      <c r="BF42" s="63" t="s">
        <v>2752</v>
      </c>
      <c r="BH42" s="255">
        <f>BH37+BH38+BH39+BH40+BH41</f>
        <v>0</v>
      </c>
      <c r="BJ42" s="63" t="s">
        <v>2752</v>
      </c>
      <c r="BL42" s="255">
        <f>BL37+BL38+BL39+BL40+BL41</f>
        <v>0</v>
      </c>
      <c r="BM42" s="266"/>
      <c r="BN42" s="624" t="s">
        <v>4051</v>
      </c>
      <c r="BT42" s="393" t="s">
        <v>4052</v>
      </c>
      <c r="BU42" s="1">
        <f ca="1">IF(BU41&gt;0.999999999999,1,BU41)</f>
        <v>-0.98656472994675037</v>
      </c>
      <c r="BV42" s="266"/>
      <c r="BW42" s="270"/>
      <c r="CU42" s="54"/>
      <c r="CV42" s="292" t="s">
        <v>2812</v>
      </c>
      <c r="CW42" s="293"/>
      <c r="CX42" s="54"/>
    </row>
    <row r="43" spans="1:102">
      <c r="A43" s="335">
        <v>36</v>
      </c>
      <c r="B43" s="39" t="str">
        <f t="shared" si="0"/>
        <v>α lyr</v>
      </c>
      <c r="C43" s="39" t="str">
        <f t="shared" si="1"/>
        <v>μ 57</v>
      </c>
      <c r="F43" s="25" t="s">
        <v>1836</v>
      </c>
      <c r="G43" s="22">
        <v>11</v>
      </c>
      <c r="H43" s="22">
        <v>3</v>
      </c>
      <c r="I43" s="22">
        <v>43.7</v>
      </c>
      <c r="J43" s="22">
        <v>61</v>
      </c>
      <c r="K43" s="22">
        <v>45</v>
      </c>
      <c r="L43" s="22">
        <v>4</v>
      </c>
      <c r="M43" s="22" t="s">
        <v>86</v>
      </c>
      <c r="N43" s="22" t="s">
        <v>87</v>
      </c>
      <c r="R43" s="1" t="s">
        <v>2852</v>
      </c>
      <c r="V43" s="59"/>
      <c r="X43" s="42" t="s">
        <v>3114</v>
      </c>
      <c r="Y43" s="42" t="s">
        <v>1600</v>
      </c>
      <c r="AA43" s="42" t="s">
        <v>244</v>
      </c>
      <c r="AB43" s="42" t="s">
        <v>3115</v>
      </c>
      <c r="AC43" s="42" t="s">
        <v>1906</v>
      </c>
      <c r="AD43" s="42" t="s">
        <v>3116</v>
      </c>
      <c r="AE43" s="42" t="s">
        <v>3117</v>
      </c>
      <c r="AF43" s="42"/>
      <c r="AJ43" s="91">
        <f>LOOKUP(AJ37,(A5:A1209),(J5:J1209))</f>
        <v>38</v>
      </c>
      <c r="AK43" s="67"/>
      <c r="AL43" s="59"/>
      <c r="BE43" s="85"/>
      <c r="BF43" s="256">
        <f>BF37+BF38+BF39+BF40</f>
        <v>0</v>
      </c>
      <c r="BJ43" s="256">
        <f>BJ37+BJ38+BJ39+BJ40</f>
        <v>0</v>
      </c>
      <c r="BM43" s="266"/>
      <c r="BN43" s="393" t="s">
        <v>4053</v>
      </c>
      <c r="BO43" s="1">
        <f>BO37</f>
        <v>0.88083399425678488</v>
      </c>
      <c r="BT43" s="393" t="s">
        <v>4054</v>
      </c>
      <c r="BU43" s="1">
        <f ca="1">IF(BU42&lt;-0.999999999999,-1,BU42)</f>
        <v>-0.98656472994675037</v>
      </c>
      <c r="BV43" s="266"/>
      <c r="BW43" s="270"/>
      <c r="CU43" s="54"/>
      <c r="CV43" s="1" t="s">
        <v>2813</v>
      </c>
      <c r="CW43" s="1">
        <f ca="1">(CW16+90)-(CW13+90)</f>
        <v>-5.7465176710614685</v>
      </c>
      <c r="CX43" s="54"/>
    </row>
    <row r="44" spans="1:102">
      <c r="A44" s="335">
        <v>37</v>
      </c>
      <c r="B44" s="39" t="str">
        <f t="shared" si="0"/>
        <v>α lyr</v>
      </c>
      <c r="C44" s="39" t="str">
        <f t="shared" si="1"/>
        <v>μ 57</v>
      </c>
      <c r="F44" s="25" t="s">
        <v>1837</v>
      </c>
      <c r="G44" s="22">
        <v>11</v>
      </c>
      <c r="H44" s="22">
        <v>1</v>
      </c>
      <c r="I44" s="22">
        <v>50.5</v>
      </c>
      <c r="J44" s="22">
        <v>56</v>
      </c>
      <c r="K44" s="22">
        <v>22</v>
      </c>
      <c r="L44" s="22">
        <v>57</v>
      </c>
      <c r="M44" s="22" t="s">
        <v>88</v>
      </c>
      <c r="N44" s="22" t="s">
        <v>89</v>
      </c>
      <c r="V44" s="59"/>
      <c r="X44" s="42" t="s">
        <v>3080</v>
      </c>
      <c r="Y44" s="42" t="s">
        <v>1600</v>
      </c>
      <c r="AA44" s="42" t="s">
        <v>220</v>
      </c>
      <c r="AB44" s="42" t="s">
        <v>3009</v>
      </c>
      <c r="AC44" s="42" t="s">
        <v>1894</v>
      </c>
      <c r="AD44" s="42" t="s">
        <v>3118</v>
      </c>
      <c r="AE44" s="42" t="s">
        <v>3119</v>
      </c>
      <c r="AF44" s="42"/>
      <c r="AJ44" s="91">
        <f>LOOKUP(AJ37,(A5:A1209),(K5:K1209))</f>
        <v>47</v>
      </c>
      <c r="AK44" s="67"/>
      <c r="AL44" s="59"/>
      <c r="BE44" s="85"/>
      <c r="BH44" s="61">
        <f>IF(BF43&gt;1,BH41,BH42)</f>
        <v>0</v>
      </c>
      <c r="BL44" s="61">
        <f>IF(BJ43&gt;1,BL41,BL42)</f>
        <v>0</v>
      </c>
      <c r="BM44" s="266"/>
      <c r="BN44" s="393" t="s">
        <v>4055</v>
      </c>
      <c r="BO44" s="1">
        <f>SQRT(1-(BO43*BO43))</f>
        <v>0.47342525762958432</v>
      </c>
      <c r="BT44" s="1" t="s">
        <v>4056</v>
      </c>
      <c r="BU44" s="627">
        <f ca="1">DEGREES(ASIN(RADIANS(DEGREES(BU43))))</f>
        <v>-80.597393284823696</v>
      </c>
      <c r="BV44" s="266"/>
      <c r="BW44" s="270"/>
      <c r="CU44" s="54"/>
      <c r="CV44" s="1" t="s">
        <v>2814</v>
      </c>
      <c r="CW44" s="82" t="str">
        <f ca="1">IF(CW43&gt;0,"ΒΟΡΕΙΑ","")</f>
        <v/>
      </c>
      <c r="CX44" s="54"/>
    </row>
    <row r="45" spans="1:102">
      <c r="A45" s="335">
        <v>38</v>
      </c>
      <c r="B45" s="39" t="str">
        <f t="shared" si="0"/>
        <v>α lyr</v>
      </c>
      <c r="C45" s="39" t="str">
        <f t="shared" si="1"/>
        <v>μ 57</v>
      </c>
      <c r="F45" s="25" t="s">
        <v>1838</v>
      </c>
      <c r="G45" s="22">
        <v>11</v>
      </c>
      <c r="H45" s="22">
        <v>53</v>
      </c>
      <c r="I45" s="22">
        <v>49.8</v>
      </c>
      <c r="J45" s="22">
        <v>53</v>
      </c>
      <c r="K45" s="22">
        <v>41</v>
      </c>
      <c r="L45" s="22">
        <v>41</v>
      </c>
      <c r="M45" s="22" t="s">
        <v>90</v>
      </c>
      <c r="N45" s="22" t="s">
        <v>91</v>
      </c>
      <c r="T45" s="307" t="s">
        <v>2673</v>
      </c>
      <c r="U45" s="308" t="s">
        <v>2667</v>
      </c>
      <c r="V45" s="59"/>
      <c r="X45" s="42" t="s">
        <v>3120</v>
      </c>
      <c r="Y45" s="42" t="s">
        <v>3018</v>
      </c>
      <c r="AA45" s="42" t="s">
        <v>340</v>
      </c>
      <c r="AB45" s="42" t="s">
        <v>3121</v>
      </c>
      <c r="AC45" s="42" t="s">
        <v>1956</v>
      </c>
      <c r="AD45" s="42" t="s">
        <v>3122</v>
      </c>
      <c r="AE45" s="42" t="s">
        <v>3123</v>
      </c>
      <c r="AF45" s="42"/>
      <c r="AJ45" s="91">
        <f>LOOKUP(AJ37,(A5:A1209),(L5:L1209))</f>
        <v>1</v>
      </c>
      <c r="AK45" s="67"/>
      <c r="AL45" s="59"/>
      <c r="AM45" s="59"/>
      <c r="AN45" s="59"/>
      <c r="AO45" s="264" t="s">
        <v>2760</v>
      </c>
      <c r="AP45" s="59"/>
      <c r="AQ45" s="59"/>
      <c r="AR45" s="59"/>
      <c r="AS45" s="59"/>
      <c r="AT45" s="59"/>
      <c r="AU45" s="59"/>
      <c r="AV45" s="59"/>
      <c r="AW45" s="59"/>
      <c r="AX45" s="59"/>
      <c r="AY45" s="59"/>
      <c r="AZ45" s="59"/>
      <c r="BA45" s="59"/>
      <c r="BB45" s="59"/>
      <c r="BC45" s="59"/>
      <c r="BD45" s="59"/>
      <c r="BE45" s="85"/>
      <c r="BG45" s="69" t="str">
        <f>""</f>
        <v/>
      </c>
      <c r="BH45" s="257">
        <v>0</v>
      </c>
      <c r="BK45" s="69" t="str">
        <f>""</f>
        <v/>
      </c>
      <c r="BL45" s="257">
        <v>0</v>
      </c>
      <c r="BM45" s="266"/>
      <c r="BN45" s="616" t="s">
        <v>4057</v>
      </c>
      <c r="BO45" s="1">
        <f>BO35*BO25</f>
        <v>-0.45659919408176369</v>
      </c>
      <c r="BT45" s="1" t="s">
        <v>4058</v>
      </c>
      <c r="BU45" s="628">
        <f ca="1">BU44/15</f>
        <v>-5.3731595523215798</v>
      </c>
      <c r="BV45" s="266"/>
      <c r="BW45" s="270"/>
      <c r="CU45" s="54"/>
      <c r="CV45" s="1" t="s">
        <v>2815</v>
      </c>
      <c r="CW45" s="82" t="str">
        <f ca="1">IF(CW43&lt;0,"ΝΟΤΙΑ","")</f>
        <v>ΝΟΤΙΑ</v>
      </c>
      <c r="CX45" s="54"/>
    </row>
    <row r="46" spans="1:102">
      <c r="A46" s="335">
        <v>39</v>
      </c>
      <c r="B46" s="39" t="str">
        <f t="shared" si="0"/>
        <v>α lyr</v>
      </c>
      <c r="C46" s="39" t="str">
        <f t="shared" si="1"/>
        <v>μ 57</v>
      </c>
      <c r="F46" s="25" t="s">
        <v>1839</v>
      </c>
      <c r="G46" s="22">
        <v>12</v>
      </c>
      <c r="H46" s="22">
        <v>15</v>
      </c>
      <c r="I46" s="22">
        <v>25.6</v>
      </c>
      <c r="J46" s="22">
        <v>57</v>
      </c>
      <c r="K46" s="22">
        <v>1</v>
      </c>
      <c r="L46" s="22">
        <v>57</v>
      </c>
      <c r="M46" s="22" t="s">
        <v>92</v>
      </c>
      <c r="N46" s="22" t="s">
        <v>93</v>
      </c>
      <c r="S46" s="1" t="s">
        <v>2665</v>
      </c>
      <c r="T46" s="61" t="str">
        <f>T25</f>
        <v>α</v>
      </c>
      <c r="U46" s="61" t="str">
        <f>T38</f>
        <v>m</v>
      </c>
      <c r="V46" s="59"/>
      <c r="X46" s="42" t="s">
        <v>3124</v>
      </c>
      <c r="Y46" s="42" t="s">
        <v>3018</v>
      </c>
      <c r="AA46" s="42" t="s">
        <v>1714</v>
      </c>
      <c r="AB46" s="42" t="s">
        <v>3125</v>
      </c>
      <c r="AC46" s="42" t="s">
        <v>2636</v>
      </c>
      <c r="AD46" s="42" t="s">
        <v>3126</v>
      </c>
      <c r="AE46" s="42" t="s">
        <v>3127</v>
      </c>
      <c r="AF46" s="42"/>
      <c r="AI46" s="63" t="s">
        <v>2686</v>
      </c>
      <c r="AK46" s="67"/>
      <c r="AL46" s="59"/>
      <c r="AM46" s="98"/>
      <c r="AN46" s="100" t="s">
        <v>2696</v>
      </c>
      <c r="AO46" s="99"/>
      <c r="AP46" s="100" t="str">
        <f>AJ75</f>
        <v/>
      </c>
      <c r="AQ46" s="99"/>
      <c r="AR46" s="99"/>
      <c r="AS46" s="99"/>
      <c r="AT46" s="99"/>
      <c r="AU46" s="99"/>
      <c r="AV46" s="100"/>
      <c r="AW46" s="100" t="s">
        <v>2696</v>
      </c>
      <c r="AX46" s="99"/>
      <c r="AY46" s="100"/>
      <c r="AZ46" s="99"/>
      <c r="BA46" s="100" t="str">
        <f>AJ79</f>
        <v/>
      </c>
      <c r="BB46" s="99"/>
      <c r="BC46" s="101"/>
      <c r="BD46" s="98"/>
      <c r="BE46" s="85"/>
      <c r="BG46" s="258" t="s">
        <v>2744</v>
      </c>
      <c r="BH46" s="259">
        <v>1</v>
      </c>
      <c r="BK46" s="258" t="s">
        <v>2744</v>
      </c>
      <c r="BL46" s="259">
        <v>1</v>
      </c>
      <c r="BM46" s="266"/>
      <c r="BN46" s="393" t="s">
        <v>4059</v>
      </c>
      <c r="BO46" s="393">
        <f>IF(BO43=1,0.000000000001,BO44)</f>
        <v>0.47342525762958432</v>
      </c>
      <c r="BV46" s="266"/>
      <c r="BW46" s="270"/>
      <c r="CU46" s="54"/>
      <c r="CV46" s="63" t="s">
        <v>2816</v>
      </c>
      <c r="CX46" s="54"/>
    </row>
    <row r="47" spans="1:102">
      <c r="A47" s="335">
        <v>40</v>
      </c>
      <c r="B47" s="39" t="str">
        <f t="shared" si="0"/>
        <v>α lyr</v>
      </c>
      <c r="C47" s="39" t="str">
        <f t="shared" si="1"/>
        <v>μ 57</v>
      </c>
      <c r="F47" s="25" t="s">
        <v>1840</v>
      </c>
      <c r="G47" s="22">
        <v>12</v>
      </c>
      <c r="H47" s="22">
        <v>54</v>
      </c>
      <c r="I47" s="22">
        <v>1.7</v>
      </c>
      <c r="J47" s="22">
        <v>55</v>
      </c>
      <c r="K47" s="22">
        <v>57</v>
      </c>
      <c r="L47" s="22">
        <v>35</v>
      </c>
      <c r="M47" s="22" t="s">
        <v>94</v>
      </c>
      <c r="N47" s="22" t="s">
        <v>95</v>
      </c>
      <c r="R47" s="69" t="s">
        <v>2853</v>
      </c>
      <c r="S47" s="69" t="s">
        <v>15</v>
      </c>
      <c r="T47" s="1" t="str">
        <f>IF(T46=R47,S47,T46)</f>
        <v>α</v>
      </c>
      <c r="U47" s="1" t="str">
        <f>IF(U46=R47,S47,U46)</f>
        <v>m</v>
      </c>
      <c r="V47" s="59"/>
      <c r="X47" s="42" t="s">
        <v>3020</v>
      </c>
      <c r="Y47" s="42" t="s">
        <v>3018</v>
      </c>
      <c r="AA47" s="42" t="s">
        <v>1562</v>
      </c>
      <c r="AB47" s="42" t="s">
        <v>3128</v>
      </c>
      <c r="AC47" s="42" t="s">
        <v>2572</v>
      </c>
      <c r="AD47" s="42" t="s">
        <v>3129</v>
      </c>
      <c r="AE47" s="42" t="s">
        <v>3130</v>
      </c>
      <c r="AF47" s="42"/>
      <c r="AJ47" s="73" t="str">
        <f>B1213</f>
        <v/>
      </c>
      <c r="AK47" s="94"/>
      <c r="AL47" s="59"/>
      <c r="AM47" s="98"/>
      <c r="AN47" s="102" t="s">
        <v>2697</v>
      </c>
      <c r="AO47" s="7"/>
      <c r="AP47" s="103">
        <f>AJ76</f>
        <v>394</v>
      </c>
      <c r="AQ47" s="7"/>
      <c r="AR47" s="7"/>
      <c r="AS47" s="7"/>
      <c r="AT47" s="104"/>
      <c r="AU47" s="7"/>
      <c r="AV47" s="105" t="s">
        <v>2698</v>
      </c>
      <c r="AW47" s="7"/>
      <c r="AX47" s="7"/>
      <c r="AY47" s="7"/>
      <c r="AZ47" s="7"/>
      <c r="BA47" s="103">
        <f>AJ80</f>
        <v>454</v>
      </c>
      <c r="BB47" s="7"/>
      <c r="BC47" s="106"/>
      <c r="BD47" s="98"/>
      <c r="BE47" s="85"/>
      <c r="BG47" s="258" t="s">
        <v>2745</v>
      </c>
      <c r="BH47" s="259">
        <v>2</v>
      </c>
      <c r="BK47" s="258" t="s">
        <v>2745</v>
      </c>
      <c r="BL47" s="259">
        <v>2</v>
      </c>
      <c r="BM47" s="266"/>
      <c r="BN47" s="393" t="s">
        <v>4060</v>
      </c>
      <c r="BO47" s="393">
        <f>IF(BO43=-1,-0.000000000001,BO46)</f>
        <v>0.47342525762958432</v>
      </c>
      <c r="BT47" s="63" t="s">
        <v>4061</v>
      </c>
      <c r="BU47" s="69">
        <f ca="1">BU15</f>
        <v>285.60060351940422</v>
      </c>
      <c r="BV47" s="266"/>
      <c r="BW47" s="270"/>
      <c r="CU47" s="54"/>
      <c r="CV47" s="1" t="s">
        <v>12</v>
      </c>
      <c r="CW47" s="73">
        <f ca="1">IF(CW43=0,"",CW43)</f>
        <v>-5.7465176710614685</v>
      </c>
      <c r="CX47" s="54"/>
    </row>
    <row r="48" spans="1:102">
      <c r="A48" s="335">
        <v>41</v>
      </c>
      <c r="B48" s="39" t="str">
        <f t="shared" si="0"/>
        <v>α lyr</v>
      </c>
      <c r="C48" s="39" t="str">
        <f t="shared" si="1"/>
        <v>μ 57</v>
      </c>
      <c r="F48" s="25" t="s">
        <v>1841</v>
      </c>
      <c r="G48" s="22">
        <v>13</v>
      </c>
      <c r="H48" s="22">
        <v>23</v>
      </c>
      <c r="I48" s="22">
        <v>55.5</v>
      </c>
      <c r="J48" s="22">
        <v>54</v>
      </c>
      <c r="K48" s="22">
        <v>55</v>
      </c>
      <c r="L48" s="22">
        <v>31</v>
      </c>
      <c r="M48" s="22" t="s">
        <v>96</v>
      </c>
      <c r="N48" s="22" t="s">
        <v>97</v>
      </c>
      <c r="R48" s="42" t="s">
        <v>2854</v>
      </c>
      <c r="S48" s="42" t="s">
        <v>15</v>
      </c>
      <c r="T48" s="1" t="str">
        <f t="shared" ref="T48:T103" si="2">IF(T47=R48,S48,T47)</f>
        <v>α</v>
      </c>
      <c r="U48" s="1" t="str">
        <f t="shared" ref="U48:U103" si="3">IF(U47=R48,S48,U47)</f>
        <v>m</v>
      </c>
      <c r="V48" s="59"/>
      <c r="X48" s="42" t="s">
        <v>3131</v>
      </c>
      <c r="Y48" s="42" t="s">
        <v>218</v>
      </c>
      <c r="AA48" s="42" t="s">
        <v>697</v>
      </c>
      <c r="AB48" s="42" t="s">
        <v>3132</v>
      </c>
      <c r="AC48" s="42" t="s">
        <v>697</v>
      </c>
      <c r="AD48" s="42" t="s">
        <v>3133</v>
      </c>
      <c r="AE48" s="42" t="s">
        <v>3134</v>
      </c>
      <c r="AF48" s="42"/>
      <c r="AJ48" s="60" t="str">
        <f>LOOKUP(AJ37,(A5:A1209),(M5:M1209))</f>
        <v>α Λύρας. Βέγας</v>
      </c>
      <c r="AK48" s="67"/>
      <c r="AL48" s="59"/>
      <c r="AM48" s="98"/>
      <c r="AN48" s="251" t="str">
        <f>BF51</f>
        <v/>
      </c>
      <c r="AO48" s="7"/>
      <c r="AP48" s="7"/>
      <c r="AQ48" s="7"/>
      <c r="AR48" s="7"/>
      <c r="AS48" s="7"/>
      <c r="AT48" s="75" t="s">
        <v>2715</v>
      </c>
      <c r="AU48" s="80"/>
      <c r="AV48" s="66" t="str">
        <f>BF94</f>
        <v/>
      </c>
      <c r="AW48" s="7"/>
      <c r="AX48" s="7"/>
      <c r="AY48" s="7"/>
      <c r="AZ48" s="7"/>
      <c r="BA48" s="7"/>
      <c r="BB48" s="7"/>
      <c r="BC48" s="106"/>
      <c r="BD48" s="98"/>
      <c r="BE48" s="85"/>
      <c r="BG48" s="258" t="s">
        <v>2746</v>
      </c>
      <c r="BH48" s="259">
        <v>3</v>
      </c>
      <c r="BK48" s="258" t="s">
        <v>2747</v>
      </c>
      <c r="BL48" s="259">
        <v>3</v>
      </c>
      <c r="BM48" s="266"/>
      <c r="BN48" s="616" t="s">
        <v>4062</v>
      </c>
      <c r="BO48" s="266">
        <f>BO45/BO47</f>
        <v>-0.96445888072793617</v>
      </c>
      <c r="BT48" s="175" t="s">
        <v>4063</v>
      </c>
      <c r="BU48" s="629">
        <f ca="1">IF(BU47&gt;90,0,1)</f>
        <v>0</v>
      </c>
      <c r="BV48" s="266" t="s">
        <v>4064</v>
      </c>
      <c r="BW48" s="270"/>
      <c r="CU48" s="54"/>
      <c r="CV48" s="1" t="s">
        <v>2811</v>
      </c>
      <c r="CW48" s="73" t="str">
        <f ca="1">CONCATENATE(CW44,CW45)</f>
        <v>ΝΟΤΙΑ</v>
      </c>
      <c r="CX48" s="54"/>
    </row>
    <row r="49" spans="1:102">
      <c r="A49" s="335">
        <v>42</v>
      </c>
      <c r="B49" s="39" t="str">
        <f t="shared" si="0"/>
        <v>α lyr</v>
      </c>
      <c r="C49" s="39" t="str">
        <f t="shared" si="1"/>
        <v>μ 57</v>
      </c>
      <c r="F49" s="25" t="s">
        <v>1842</v>
      </c>
      <c r="G49" s="22">
        <v>13</v>
      </c>
      <c r="H49" s="22">
        <v>47</v>
      </c>
      <c r="I49" s="22">
        <v>32.4</v>
      </c>
      <c r="J49" s="22">
        <v>49</v>
      </c>
      <c r="K49" s="22">
        <v>18</v>
      </c>
      <c r="L49" s="22">
        <v>48</v>
      </c>
      <c r="M49" s="22" t="s">
        <v>98</v>
      </c>
      <c r="N49" s="22" t="s">
        <v>99</v>
      </c>
      <c r="R49" s="42" t="s">
        <v>2855</v>
      </c>
      <c r="S49" s="42" t="s">
        <v>15</v>
      </c>
      <c r="T49" s="1" t="str">
        <f t="shared" si="2"/>
        <v>α</v>
      </c>
      <c r="U49" s="1" t="str">
        <f t="shared" si="3"/>
        <v>m</v>
      </c>
      <c r="V49" s="59"/>
      <c r="X49" s="42" t="s">
        <v>3010</v>
      </c>
      <c r="Y49" s="42" t="s">
        <v>218</v>
      </c>
      <c r="AA49" s="42" t="s">
        <v>727</v>
      </c>
      <c r="AB49" s="42" t="s">
        <v>3135</v>
      </c>
      <c r="AC49" s="42" t="s">
        <v>2139</v>
      </c>
      <c r="AD49" s="42" t="s">
        <v>3136</v>
      </c>
      <c r="AE49" s="42" t="s">
        <v>3137</v>
      </c>
      <c r="AF49" s="42"/>
      <c r="AK49" s="67"/>
      <c r="AL49" s="59"/>
      <c r="AM49" s="98"/>
      <c r="AN49" s="251" t="str">
        <f>BF52</f>
        <v/>
      </c>
      <c r="AO49" s="7"/>
      <c r="AP49" s="7"/>
      <c r="AQ49" s="7"/>
      <c r="AR49" s="7"/>
      <c r="AS49" s="7"/>
      <c r="AT49" s="231" t="s">
        <v>2700</v>
      </c>
      <c r="AU49" s="58">
        <f>Φύλλο2!AF47</f>
        <v>1</v>
      </c>
      <c r="AV49" s="66" t="str">
        <f>BF95</f>
        <v/>
      </c>
      <c r="AW49" s="7"/>
      <c r="AX49" s="7"/>
      <c r="AY49" s="7"/>
      <c r="AZ49" s="7"/>
      <c r="BA49" s="7"/>
      <c r="BB49" s="7"/>
      <c r="BC49" s="106"/>
      <c r="BD49" s="98"/>
      <c r="BE49" s="85"/>
      <c r="BG49" s="258" t="s">
        <v>2748</v>
      </c>
      <c r="BH49" s="259">
        <v>4</v>
      </c>
      <c r="BK49" s="258" t="s">
        <v>2749</v>
      </c>
      <c r="BL49" s="259">
        <v>4</v>
      </c>
      <c r="BM49" s="266"/>
      <c r="BN49" s="393" t="s">
        <v>4052</v>
      </c>
      <c r="BO49" s="601">
        <f>IF(BO48&gt;0.999999999999,1,BO48)</f>
        <v>-0.96445888072793617</v>
      </c>
      <c r="BT49" s="43" t="s">
        <v>4065</v>
      </c>
      <c r="BU49" s="259">
        <f ca="1">IF(BU47&gt;90,BU47,1000)</f>
        <v>285.60060351940422</v>
      </c>
      <c r="BV49" s="266"/>
      <c r="BW49" s="270"/>
      <c r="CU49" s="54"/>
      <c r="CV49" s="1" t="s">
        <v>2707</v>
      </c>
      <c r="CW49" s="73">
        <f ca="1">IF(CW43=0,"",CW43/2.5)</f>
        <v>-2.2986070684245874</v>
      </c>
      <c r="CX49" s="54"/>
    </row>
    <row r="50" spans="1:102" ht="18.75">
      <c r="A50" s="335">
        <v>43</v>
      </c>
      <c r="B50" s="39" t="str">
        <f t="shared" si="0"/>
        <v>α lyr</v>
      </c>
      <c r="C50" s="39" t="str">
        <f t="shared" si="1"/>
        <v>μ 57</v>
      </c>
      <c r="F50" s="25" t="s">
        <v>1843</v>
      </c>
      <c r="G50" s="22">
        <v>9</v>
      </c>
      <c r="H50" s="22">
        <v>32</v>
      </c>
      <c r="I50" s="22">
        <v>51.4</v>
      </c>
      <c r="J50" s="22">
        <v>51</v>
      </c>
      <c r="K50" s="22">
        <v>40</v>
      </c>
      <c r="L50" s="22">
        <v>38</v>
      </c>
      <c r="M50" s="22" t="s">
        <v>100</v>
      </c>
      <c r="N50" s="22" t="s">
        <v>101</v>
      </c>
      <c r="R50" s="42" t="s">
        <v>2856</v>
      </c>
      <c r="S50" s="42" t="s">
        <v>2857</v>
      </c>
      <c r="T50" s="1" t="str">
        <f t="shared" si="2"/>
        <v>α</v>
      </c>
      <c r="U50" s="1" t="str">
        <f t="shared" si="3"/>
        <v>m</v>
      </c>
      <c r="V50" s="59"/>
      <c r="X50" s="42" t="s">
        <v>3138</v>
      </c>
      <c r="Y50" s="42" t="s">
        <v>220</v>
      </c>
      <c r="AA50" s="42" t="s">
        <v>679</v>
      </c>
      <c r="AB50" s="42" t="s">
        <v>3139</v>
      </c>
      <c r="AC50" s="42" t="s">
        <v>2128</v>
      </c>
      <c r="AD50" s="42" t="s">
        <v>3140</v>
      </c>
      <c r="AE50" s="42" t="s">
        <v>3141</v>
      </c>
      <c r="AF50" s="42"/>
      <c r="AJ50" s="73" t="str">
        <f>B1214</f>
        <v/>
      </c>
      <c r="AK50" s="67"/>
      <c r="AL50" s="59"/>
      <c r="AM50" s="98"/>
      <c r="AN50" s="265" t="s">
        <v>2760</v>
      </c>
      <c r="AO50" s="80"/>
      <c r="AP50" s="80"/>
      <c r="AQ50" s="75" t="s">
        <v>2717</v>
      </c>
      <c r="AR50" s="80"/>
      <c r="AS50" s="80"/>
      <c r="AT50" s="80"/>
      <c r="AU50" s="80"/>
      <c r="AV50" s="80"/>
      <c r="AW50" s="80" t="s">
        <v>2670</v>
      </c>
      <c r="AX50" s="75" t="s">
        <v>2718</v>
      </c>
      <c r="AY50" s="80"/>
      <c r="AZ50" s="80"/>
      <c r="BA50" s="80"/>
      <c r="BB50" s="80"/>
      <c r="BC50" s="230"/>
      <c r="BD50" s="98"/>
      <c r="BE50" s="85"/>
      <c r="BF50" s="1" t="s">
        <v>2753</v>
      </c>
      <c r="BG50" s="260" t="s">
        <v>2751</v>
      </c>
      <c r="BH50" s="197">
        <v>5</v>
      </c>
      <c r="BJ50" s="63" t="s">
        <v>2753</v>
      </c>
      <c r="BK50" s="260" t="s">
        <v>2751</v>
      </c>
      <c r="BL50" s="197">
        <v>5</v>
      </c>
      <c r="BM50" s="266"/>
      <c r="BN50" s="393" t="s">
        <v>4054</v>
      </c>
      <c r="BO50" s="393">
        <f>IF(BO49&lt;-0.999999999999,-1,BO49)</f>
        <v>-0.96445888072793617</v>
      </c>
      <c r="BT50" s="43" t="s">
        <v>4066</v>
      </c>
      <c r="BU50" s="372">
        <f ca="1">IF(BU49&gt;180,0,2)</f>
        <v>0</v>
      </c>
      <c r="BV50" s="266"/>
      <c r="BW50" s="270"/>
      <c r="CU50" s="54"/>
      <c r="CX50" s="54"/>
    </row>
    <row r="51" spans="1:102" ht="17.25">
      <c r="A51" s="335">
        <v>44</v>
      </c>
      <c r="B51" s="39" t="str">
        <f t="shared" si="0"/>
        <v>α lyr</v>
      </c>
      <c r="C51" s="39" t="str">
        <f t="shared" si="1"/>
        <v>μ 57</v>
      </c>
      <c r="F51" s="25" t="s">
        <v>1844</v>
      </c>
      <c r="G51" s="22">
        <v>8</v>
      </c>
      <c r="H51" s="22">
        <v>59</v>
      </c>
      <c r="I51" s="22">
        <v>12.5</v>
      </c>
      <c r="J51" s="22">
        <v>48</v>
      </c>
      <c r="K51" s="22">
        <v>2</v>
      </c>
      <c r="L51" s="22">
        <v>31</v>
      </c>
      <c r="M51" s="22" t="s">
        <v>102</v>
      </c>
      <c r="N51" s="22" t="s">
        <v>103</v>
      </c>
      <c r="R51" s="42" t="s">
        <v>2858</v>
      </c>
      <c r="S51" s="42" t="s">
        <v>2857</v>
      </c>
      <c r="T51" s="1" t="str">
        <f t="shared" si="2"/>
        <v>α</v>
      </c>
      <c r="U51" s="1" t="str">
        <f t="shared" si="3"/>
        <v>m</v>
      </c>
      <c r="V51" s="59"/>
      <c r="X51" s="42" t="s">
        <v>3118</v>
      </c>
      <c r="Y51" s="42" t="s">
        <v>220</v>
      </c>
      <c r="AA51" s="42" t="s">
        <v>320</v>
      </c>
      <c r="AB51" s="42" t="s">
        <v>3052</v>
      </c>
      <c r="AC51" s="42" t="s">
        <v>1946</v>
      </c>
      <c r="AD51" s="42" t="s">
        <v>3142</v>
      </c>
      <c r="AE51" s="42" t="s">
        <v>3143</v>
      </c>
      <c r="AF51" s="42"/>
      <c r="AJ51" s="60" t="str">
        <f>LOOKUP(AJ37,(A5:A1209),(N5:N1209))</f>
        <v>α Lyra.Vega</v>
      </c>
      <c r="AK51" s="67"/>
      <c r="AL51" s="59"/>
      <c r="AM51" s="98"/>
      <c r="AN51" s="232" t="s">
        <v>2725</v>
      </c>
      <c r="AO51" s="80"/>
      <c r="AP51" s="80"/>
      <c r="AQ51" s="233">
        <f ca="1">BX79</f>
        <v>18</v>
      </c>
      <c r="AR51" s="234">
        <f ca="1">BX80</f>
        <v>37</v>
      </c>
      <c r="AS51" s="296">
        <f ca="1">BX81</f>
        <v>36.625611642306239</v>
      </c>
      <c r="AT51" s="75" t="s">
        <v>2704</v>
      </c>
      <c r="AU51" s="80"/>
      <c r="AV51" s="80"/>
      <c r="AW51" s="249">
        <f ca="1">Φύλλο2!AG60</f>
        <v>2020</v>
      </c>
      <c r="AX51" s="233">
        <f ca="1">BX119</f>
        <v>18</v>
      </c>
      <c r="AY51" s="234">
        <f ca="1">BX120</f>
        <v>54</v>
      </c>
      <c r="AZ51" s="296">
        <f ca="1">BX121</f>
        <v>19.71088496131074</v>
      </c>
      <c r="BA51" s="80"/>
      <c r="BB51" s="80"/>
      <c r="BC51" s="230"/>
      <c r="BD51" s="98"/>
      <c r="BE51" s="85"/>
      <c r="BF51" s="88" t="str">
        <f>IF(BF43=0,"",BG51)</f>
        <v/>
      </c>
      <c r="BG51" s="1" t="s">
        <v>2754</v>
      </c>
      <c r="BJ51" s="88" t="str">
        <f>IF(BJ43=0,"",BK51)</f>
        <v/>
      </c>
      <c r="BK51" s="1" t="s">
        <v>2755</v>
      </c>
      <c r="BM51" s="266"/>
      <c r="BN51" s="63" t="s">
        <v>4067</v>
      </c>
      <c r="BO51" s="623">
        <f>DEGREES(ASIN(RADIANS(DEGREES(BO50))))</f>
        <v>-74.678618702818042</v>
      </c>
      <c r="BT51" s="43" t="s">
        <v>4068</v>
      </c>
      <c r="BU51" s="259">
        <f ca="1">IF(BU47&gt;180,BU47,1000)</f>
        <v>285.60060351940422</v>
      </c>
      <c r="BV51" s="266"/>
      <c r="BW51" s="270"/>
      <c r="CU51" s="54"/>
      <c r="CV51" s="294" t="s">
        <v>2817</v>
      </c>
      <c r="CW51" s="98"/>
      <c r="CX51" s="54"/>
    </row>
    <row r="52" spans="1:102">
      <c r="A52" s="335">
        <v>45</v>
      </c>
      <c r="B52" s="39" t="str">
        <f t="shared" si="0"/>
        <v>α lyr</v>
      </c>
      <c r="C52" s="39" t="str">
        <f t="shared" si="1"/>
        <v>μ 57</v>
      </c>
      <c r="F52" s="25" t="s">
        <v>1845</v>
      </c>
      <c r="G52" s="22">
        <v>9</v>
      </c>
      <c r="H52" s="22">
        <v>3</v>
      </c>
      <c r="I52" s="22">
        <v>37.5</v>
      </c>
      <c r="J52" s="22">
        <v>47</v>
      </c>
      <c r="K52" s="22">
        <v>9</v>
      </c>
      <c r="L52" s="22">
        <v>23</v>
      </c>
      <c r="M52" s="22" t="s">
        <v>104</v>
      </c>
      <c r="N52" s="22" t="s">
        <v>105</v>
      </c>
      <c r="R52" s="42" t="s">
        <v>2859</v>
      </c>
      <c r="S52" s="42" t="s">
        <v>2860</v>
      </c>
      <c r="T52" s="1" t="str">
        <f t="shared" si="2"/>
        <v>α</v>
      </c>
      <c r="U52" s="1" t="str">
        <f t="shared" si="3"/>
        <v>m</v>
      </c>
      <c r="V52" s="59"/>
      <c r="X52" s="42" t="s">
        <v>3144</v>
      </c>
      <c r="Y52" s="42" t="s">
        <v>222</v>
      </c>
      <c r="AA52" s="42" t="s">
        <v>741</v>
      </c>
      <c r="AB52" s="42" t="s">
        <v>3052</v>
      </c>
      <c r="AC52" s="42" t="s">
        <v>2145</v>
      </c>
      <c r="AD52" s="42" t="s">
        <v>3145</v>
      </c>
      <c r="AE52" s="42" t="s">
        <v>3146</v>
      </c>
      <c r="AF52" s="42"/>
      <c r="AK52" s="67"/>
      <c r="AL52" s="59"/>
      <c r="AM52" s="98"/>
      <c r="AN52" s="232" t="s">
        <v>2726</v>
      </c>
      <c r="AO52" s="80"/>
      <c r="AP52" s="55" t="str">
        <f>IF(BF43=0,"","'Ωρες")</f>
        <v/>
      </c>
      <c r="AQ52" s="80"/>
      <c r="AR52" s="80"/>
      <c r="AS52" s="55" t="str">
        <f>IF(BF43=0,"",AS25)</f>
        <v/>
      </c>
      <c r="AT52" s="235" t="s">
        <v>2705</v>
      </c>
      <c r="AU52" s="4"/>
      <c r="AV52" s="236">
        <f ca="1">IF(AQ37=0,CW56,"")</f>
        <v>-16.718087888650075</v>
      </c>
      <c r="AW52" s="55" t="str">
        <f>IF(BF86=0,"","'Ωρες")</f>
        <v/>
      </c>
      <c r="AX52" s="80"/>
      <c r="AY52" s="80"/>
      <c r="AZ52" s="55" t="str">
        <f>IF(BF86=0,"",AZ25)</f>
        <v/>
      </c>
      <c r="BA52" s="80"/>
      <c r="BB52" s="80"/>
      <c r="BC52" s="230"/>
      <c r="BD52" s="98"/>
      <c r="BE52" s="85"/>
      <c r="BF52" s="88" t="str">
        <f>LOOKUP(BH44,(BH45:BH50),(BG45:BG50))</f>
        <v/>
      </c>
      <c r="BJ52" s="88" t="str">
        <f>LOOKUP(BL44,(BL45:BL50),(BK45:BK50))</f>
        <v/>
      </c>
      <c r="BM52" s="266"/>
      <c r="BT52" s="43" t="s">
        <v>4069</v>
      </c>
      <c r="BU52" s="372">
        <f ca="1">IF(BU51&gt;270,0,3)</f>
        <v>0</v>
      </c>
      <c r="BV52" s="266"/>
      <c r="BW52" s="270"/>
      <c r="CU52" s="54"/>
      <c r="CV52" s="1" t="s">
        <v>2818</v>
      </c>
      <c r="CX52" s="54"/>
    </row>
    <row r="53" spans="1:102" ht="18.75">
      <c r="A53" s="335">
        <v>46</v>
      </c>
      <c r="B53" s="39" t="str">
        <f t="shared" si="0"/>
        <v>α lyr</v>
      </c>
      <c r="C53" s="39" t="str">
        <f t="shared" si="1"/>
        <v>μ 57</v>
      </c>
      <c r="F53" s="25" t="s">
        <v>1846</v>
      </c>
      <c r="G53" s="22">
        <v>10</v>
      </c>
      <c r="H53" s="22">
        <v>17</v>
      </c>
      <c r="I53" s="22">
        <v>5.8</v>
      </c>
      <c r="J53" s="22">
        <v>42</v>
      </c>
      <c r="K53" s="22">
        <v>54</v>
      </c>
      <c r="L53" s="22">
        <v>52</v>
      </c>
      <c r="M53" s="22" t="s">
        <v>106</v>
      </c>
      <c r="N53" s="22" t="s">
        <v>107</v>
      </c>
      <c r="R53" s="42" t="s">
        <v>2861</v>
      </c>
      <c r="S53" s="42" t="s">
        <v>2860</v>
      </c>
      <c r="T53" s="1" t="str">
        <f t="shared" si="2"/>
        <v>α</v>
      </c>
      <c r="U53" s="1" t="str">
        <f t="shared" si="3"/>
        <v>m</v>
      </c>
      <c r="V53" s="59"/>
      <c r="X53" s="42" t="s">
        <v>3147</v>
      </c>
      <c r="Y53" s="42" t="s">
        <v>222</v>
      </c>
      <c r="AA53" s="42" t="s">
        <v>737</v>
      </c>
      <c r="AB53" s="42" t="s">
        <v>3148</v>
      </c>
      <c r="AC53" s="42" t="s">
        <v>2144</v>
      </c>
      <c r="AD53" s="42" t="s">
        <v>3149</v>
      </c>
      <c r="AE53" s="42" t="s">
        <v>3150</v>
      </c>
      <c r="AF53" s="42"/>
      <c r="AI53" s="63" t="s">
        <v>2694</v>
      </c>
      <c r="AJ53" s="92" t="str">
        <f>IF(AJ48=0,AJ47,AJ48)</f>
        <v>α Λύρας. Βέγας</v>
      </c>
      <c r="AK53" s="67"/>
      <c r="AL53" s="59"/>
      <c r="AM53" s="98"/>
      <c r="AN53" s="232" t="s">
        <v>2727</v>
      </c>
      <c r="AO53" s="80"/>
      <c r="AP53" s="55" t="str">
        <f>IF(BF43=0,"","Λεπτά")</f>
        <v/>
      </c>
      <c r="AQ53" s="80"/>
      <c r="AR53" s="80"/>
      <c r="AS53" s="55" t="str">
        <f>IF(BF43=0,"",AS26)</f>
        <v/>
      </c>
      <c r="AT53" s="237" t="str">
        <f ca="1">IF(AQ37=0,CW57,"")</f>
        <v>ΑΝΑΤΟΛΙΚΑ</v>
      </c>
      <c r="AU53" s="80"/>
      <c r="AV53" s="230"/>
      <c r="AW53" s="55" t="str">
        <f>IF(BF86=0,"","Λεπτά")</f>
        <v/>
      </c>
      <c r="AX53" s="80"/>
      <c r="AY53" s="80"/>
      <c r="AZ53" s="55" t="str">
        <f>IF(BF86=0,"",AZ26)</f>
        <v/>
      </c>
      <c r="BA53" s="80"/>
      <c r="BB53" s="80"/>
      <c r="BC53" s="230"/>
      <c r="BD53" s="98"/>
      <c r="BE53" s="85"/>
      <c r="BM53" s="266"/>
      <c r="BT53" s="43" t="s">
        <v>4070</v>
      </c>
      <c r="BU53" s="372">
        <f ca="1">IF(BU47&gt;270,4,0)</f>
        <v>4</v>
      </c>
      <c r="BV53" s="266"/>
      <c r="BW53" s="270"/>
      <c r="CU53" s="54"/>
      <c r="CV53" s="1" t="s">
        <v>2819</v>
      </c>
      <c r="CW53" s="256">
        <f>BH98</f>
        <v>0</v>
      </c>
      <c r="CX53" s="54"/>
    </row>
    <row r="54" spans="1:102" ht="18.75">
      <c r="A54" s="335">
        <v>47</v>
      </c>
      <c r="B54" s="39" t="str">
        <f t="shared" si="0"/>
        <v>α lyr</v>
      </c>
      <c r="C54" s="39" t="str">
        <f t="shared" si="1"/>
        <v>μ 57</v>
      </c>
      <c r="F54" s="25" t="s">
        <v>1847</v>
      </c>
      <c r="G54" s="22">
        <v>10</v>
      </c>
      <c r="H54" s="22">
        <v>22</v>
      </c>
      <c r="I54" s="22">
        <v>19.7</v>
      </c>
      <c r="J54" s="22">
        <v>41</v>
      </c>
      <c r="K54" s="22">
        <v>29</v>
      </c>
      <c r="L54" s="22">
        <v>58</v>
      </c>
      <c r="M54" s="22" t="s">
        <v>108</v>
      </c>
      <c r="N54" s="22" t="s">
        <v>109</v>
      </c>
      <c r="R54" s="42" t="s">
        <v>2862</v>
      </c>
      <c r="S54" s="42" t="s">
        <v>2860</v>
      </c>
      <c r="T54" s="1" t="str">
        <f t="shared" si="2"/>
        <v>α</v>
      </c>
      <c r="U54" s="1" t="str">
        <f t="shared" si="3"/>
        <v>m</v>
      </c>
      <c r="V54" s="59"/>
      <c r="X54" s="42" t="s">
        <v>3151</v>
      </c>
      <c r="Y54" s="42" t="s">
        <v>228</v>
      </c>
      <c r="AA54" s="42" t="s">
        <v>743</v>
      </c>
      <c r="AB54" s="42" t="s">
        <v>3094</v>
      </c>
      <c r="AC54" s="42" t="s">
        <v>2146</v>
      </c>
      <c r="AD54" s="42" t="s">
        <v>3152</v>
      </c>
      <c r="AE54" s="42" t="s">
        <v>3153</v>
      </c>
      <c r="AF54" s="42"/>
      <c r="AJ54" s="78" t="str">
        <f>IF(AJ51=0,AJ50,AJ51)</f>
        <v>α Lyra.Vega</v>
      </c>
      <c r="AK54" s="67"/>
      <c r="AL54" s="59"/>
      <c r="AM54" s="98"/>
      <c r="AN54" s="238" t="s">
        <v>2706</v>
      </c>
      <c r="AO54" s="80"/>
      <c r="AP54" s="55" t="str">
        <f>IF(BF43=0,"","Δευτερόλεπτα")</f>
        <v/>
      </c>
      <c r="AQ54" s="80"/>
      <c r="AR54" s="80"/>
      <c r="AS54" s="55" t="str">
        <f>IF(BF43=0,"",AS27)</f>
        <v/>
      </c>
      <c r="AT54" s="239" t="s">
        <v>2707</v>
      </c>
      <c r="AU54" s="240"/>
      <c r="AV54" s="295">
        <f ca="1">IF(AQ37=0,CW58,"")</f>
        <v>-1.6718087888650075</v>
      </c>
      <c r="AW54" s="55" t="str">
        <f>IF(BF86=0,"","Δευτερ")</f>
        <v/>
      </c>
      <c r="AX54" s="80"/>
      <c r="AY54" s="80"/>
      <c r="AZ54" s="55" t="str">
        <f>IF(BF86=0,"",AZ27)</f>
        <v/>
      </c>
      <c r="BA54" s="80"/>
      <c r="BB54" s="80"/>
      <c r="BC54" s="230"/>
      <c r="BD54" s="98"/>
      <c r="BE54" s="85"/>
      <c r="BF54" s="63" t="s">
        <v>2665</v>
      </c>
      <c r="BG54" s="77" t="s">
        <v>2756</v>
      </c>
      <c r="BH54" s="1" t="b">
        <f>ISNUMBER(BF55)</f>
        <v>1</v>
      </c>
      <c r="BJ54" s="63" t="s">
        <v>2665</v>
      </c>
      <c r="BK54" s="77" t="s">
        <v>2757</v>
      </c>
      <c r="BL54" s="1" t="b">
        <f>ISNUMBER(BJ55)</f>
        <v>1</v>
      </c>
      <c r="BM54" s="266"/>
      <c r="BN54" s="63" t="s">
        <v>4071</v>
      </c>
      <c r="BO54" s="69">
        <f>BO13</f>
        <v>18.615638888888888</v>
      </c>
      <c r="BT54" s="191" t="s">
        <v>4072</v>
      </c>
      <c r="BU54" s="630">
        <f ca="1">BU48+BU50+BU52+BU53</f>
        <v>4</v>
      </c>
      <c r="BV54" s="266"/>
      <c r="BW54" s="270"/>
      <c r="CU54" s="54"/>
      <c r="CV54" s="1" t="s">
        <v>2820</v>
      </c>
      <c r="CX54" s="54"/>
    </row>
    <row r="55" spans="1:102" ht="18.75">
      <c r="A55" s="335">
        <v>48</v>
      </c>
      <c r="B55" s="39" t="str">
        <f t="shared" si="0"/>
        <v>α lyr</v>
      </c>
      <c r="C55" s="39" t="str">
        <f t="shared" si="1"/>
        <v>μ 57</v>
      </c>
      <c r="F55" s="25" t="s">
        <v>1848</v>
      </c>
      <c r="G55" s="22">
        <v>11</v>
      </c>
      <c r="H55" s="22">
        <v>18</v>
      </c>
      <c r="I55" s="22">
        <v>28.7</v>
      </c>
      <c r="J55" s="22">
        <v>33</v>
      </c>
      <c r="K55" s="22">
        <v>5</v>
      </c>
      <c r="L55" s="22">
        <v>39</v>
      </c>
      <c r="M55" s="22" t="s">
        <v>110</v>
      </c>
      <c r="N55" s="22" t="s">
        <v>111</v>
      </c>
      <c r="R55" s="42" t="s">
        <v>2863</v>
      </c>
      <c r="S55" s="42" t="s">
        <v>2864</v>
      </c>
      <c r="T55" s="1" t="str">
        <f t="shared" si="2"/>
        <v>α</v>
      </c>
      <c r="U55" s="1" t="str">
        <f t="shared" si="3"/>
        <v>m</v>
      </c>
      <c r="V55" s="59"/>
      <c r="X55" s="42" t="s">
        <v>3154</v>
      </c>
      <c r="Y55" s="42" t="s">
        <v>228</v>
      </c>
      <c r="AA55" s="42" t="s">
        <v>3155</v>
      </c>
      <c r="AB55" s="42" t="s">
        <v>3039</v>
      </c>
      <c r="AC55" s="42" t="s">
        <v>2247</v>
      </c>
      <c r="AD55" s="42" t="s">
        <v>3156</v>
      </c>
      <c r="AE55" s="42" t="s">
        <v>3157</v>
      </c>
      <c r="AF55" s="42"/>
      <c r="AI55" s="57" t="s">
        <v>2693</v>
      </c>
      <c r="AJ55" s="68">
        <f>C1209</f>
        <v>454</v>
      </c>
      <c r="AK55" s="67"/>
      <c r="AL55" s="59"/>
      <c r="AM55" s="98"/>
      <c r="AN55" s="238" t="s">
        <v>2708</v>
      </c>
      <c r="AO55" s="80"/>
      <c r="AP55" s="80"/>
      <c r="AQ55" s="75" t="s">
        <v>2719</v>
      </c>
      <c r="AR55" s="80"/>
      <c r="AS55" s="80"/>
      <c r="AT55" s="80"/>
      <c r="AU55" s="80"/>
      <c r="AV55" s="80"/>
      <c r="AW55" s="75" t="s">
        <v>2720</v>
      </c>
      <c r="AX55" s="80"/>
      <c r="AY55" s="80"/>
      <c r="AZ55" s="80"/>
      <c r="BA55" s="80"/>
      <c r="BB55" s="80"/>
      <c r="BC55" s="230"/>
      <c r="BD55" s="98"/>
      <c r="BE55" s="85"/>
      <c r="BF55" s="61">
        <f>AZ25</f>
        <v>18</v>
      </c>
      <c r="BG55" s="1" t="s">
        <v>2734</v>
      </c>
      <c r="BH55" s="82">
        <f>IF(BH54=BG58,0,BF55)</f>
        <v>18</v>
      </c>
      <c r="BJ55" s="61">
        <f>AZ31</f>
        <v>33</v>
      </c>
      <c r="BK55" s="1" t="s">
        <v>2734</v>
      </c>
      <c r="BL55" s="82">
        <f>IF(BL54=BK58,0,BJ55)</f>
        <v>33</v>
      </c>
      <c r="BM55" s="266"/>
      <c r="BN55" s="69" t="s">
        <v>4073</v>
      </c>
      <c r="BO55" s="631">
        <f>IF(BO54&gt;18,4,0)</f>
        <v>4</v>
      </c>
      <c r="BV55" s="266"/>
      <c r="BW55" s="270"/>
      <c r="CU55" s="54"/>
      <c r="CV55" s="63" t="s">
        <v>2684</v>
      </c>
      <c r="CX55" s="54"/>
    </row>
    <row r="56" spans="1:102">
      <c r="A56" s="335">
        <v>49</v>
      </c>
      <c r="B56" s="39" t="str">
        <f t="shared" si="0"/>
        <v>α lyr</v>
      </c>
      <c r="C56" s="39" t="str">
        <f t="shared" si="1"/>
        <v>μ 57</v>
      </c>
      <c r="F56" s="25" t="s">
        <v>1849</v>
      </c>
      <c r="G56" s="22">
        <v>11</v>
      </c>
      <c r="H56" s="22">
        <v>18</v>
      </c>
      <c r="I56" s="22">
        <v>10.9</v>
      </c>
      <c r="J56" s="22">
        <v>31</v>
      </c>
      <c r="K56" s="22">
        <v>31</v>
      </c>
      <c r="L56" s="22">
        <v>45</v>
      </c>
      <c r="M56" s="22" t="s">
        <v>112</v>
      </c>
      <c r="N56" s="22" t="s">
        <v>113</v>
      </c>
      <c r="R56" s="42" t="s">
        <v>2865</v>
      </c>
      <c r="S56" s="42" t="s">
        <v>2864</v>
      </c>
      <c r="T56" s="1" t="str">
        <f t="shared" si="2"/>
        <v>α</v>
      </c>
      <c r="U56" s="1" t="str">
        <f t="shared" si="3"/>
        <v>m</v>
      </c>
      <c r="V56" s="59"/>
      <c r="X56" s="42" t="s">
        <v>3158</v>
      </c>
      <c r="Y56" s="42" t="s">
        <v>230</v>
      </c>
      <c r="AA56" s="42" t="s">
        <v>976</v>
      </c>
      <c r="AB56" s="42" t="s">
        <v>3159</v>
      </c>
      <c r="AC56" s="42" t="s">
        <v>2248</v>
      </c>
      <c r="AD56" s="42" t="s">
        <v>3160</v>
      </c>
      <c r="AE56" s="42" t="s">
        <v>3161</v>
      </c>
      <c r="AF56" s="42"/>
      <c r="AI56" s="63" t="s">
        <v>2684</v>
      </c>
      <c r="AK56" s="67"/>
      <c r="AL56" s="59"/>
      <c r="AM56" s="98"/>
      <c r="AN56" s="241"/>
      <c r="AO56" s="80"/>
      <c r="AP56" s="80"/>
      <c r="AQ56" s="233">
        <f ca="1">CJ79</f>
        <v>38</v>
      </c>
      <c r="AR56" s="234">
        <f ca="1">CJ80</f>
        <v>48</v>
      </c>
      <c r="AS56" s="297">
        <f ca="1">CJ81</f>
        <v>5.772530249479928</v>
      </c>
      <c r="AT56" s="75" t="s">
        <v>2704</v>
      </c>
      <c r="AU56" s="80"/>
      <c r="AV56" s="80"/>
      <c r="AW56" s="80"/>
      <c r="AX56" s="233">
        <f ca="1">CJ119</f>
        <v>33</v>
      </c>
      <c r="AY56" s="234">
        <f ca="1">CJ120</f>
        <v>3</v>
      </c>
      <c r="AZ56" s="297">
        <f ca="1">CJ121</f>
        <v>18.308914428218941</v>
      </c>
      <c r="BA56" s="80"/>
      <c r="BB56" s="80"/>
      <c r="BC56" s="230"/>
      <c r="BD56" s="98"/>
      <c r="BE56" s="85"/>
      <c r="BF56" s="61">
        <f>AZ26</f>
        <v>53</v>
      </c>
      <c r="BG56" s="1" t="s">
        <v>10</v>
      </c>
      <c r="BH56" s="1" t="b">
        <f>ISNUMBER(BF56)</f>
        <v>1</v>
      </c>
      <c r="BJ56" s="61">
        <f>AZ32</f>
        <v>1</v>
      </c>
      <c r="BK56" s="1" t="s">
        <v>10</v>
      </c>
      <c r="BL56" s="1" t="b">
        <f>ISNUMBER(BJ56)</f>
        <v>1</v>
      </c>
      <c r="BM56" s="266"/>
      <c r="BN56" s="42" t="s">
        <v>4074</v>
      </c>
      <c r="BO56" s="42">
        <f>IF(BO54&gt;12,BO54,1000)</f>
        <v>18.615638888888888</v>
      </c>
      <c r="BT56" s="612" t="s">
        <v>4076</v>
      </c>
      <c r="BV56" s="266"/>
      <c r="BW56" s="270"/>
      <c r="CU56" s="54"/>
      <c r="CV56" s="1" t="s">
        <v>10</v>
      </c>
      <c r="CW56" s="91">
        <f ca="1">IF(CW53=0,CW39,"")</f>
        <v>-16.718087888650075</v>
      </c>
      <c r="CX56" s="54"/>
    </row>
    <row r="57" spans="1:102">
      <c r="A57" s="335">
        <v>50</v>
      </c>
      <c r="B57" s="39" t="str">
        <f t="shared" si="0"/>
        <v>α lyr</v>
      </c>
      <c r="C57" s="39" t="str">
        <f t="shared" si="1"/>
        <v>μ 57</v>
      </c>
      <c r="F57" s="25" t="s">
        <v>1850</v>
      </c>
      <c r="G57" s="22">
        <v>8</v>
      </c>
      <c r="H57" s="22">
        <v>30</v>
      </c>
      <c r="I57" s="22">
        <v>15.9</v>
      </c>
      <c r="J57" s="22">
        <v>60</v>
      </c>
      <c r="K57" s="22">
        <v>43</v>
      </c>
      <c r="L57" s="22">
        <v>5</v>
      </c>
      <c r="M57" s="22" t="s">
        <v>114</v>
      </c>
      <c r="N57" s="22" t="s">
        <v>115</v>
      </c>
      <c r="R57" s="42" t="s">
        <v>2866</v>
      </c>
      <c r="S57" s="42" t="s">
        <v>2864</v>
      </c>
      <c r="T57" s="1" t="str">
        <f t="shared" si="2"/>
        <v>α</v>
      </c>
      <c r="U57" s="1" t="str">
        <f t="shared" si="3"/>
        <v>m</v>
      </c>
      <c r="V57" s="59"/>
      <c r="X57" s="42" t="s">
        <v>3162</v>
      </c>
      <c r="Y57" s="42" t="s">
        <v>230</v>
      </c>
      <c r="AA57" s="42" t="s">
        <v>228</v>
      </c>
      <c r="AB57" s="42" t="s">
        <v>3009</v>
      </c>
      <c r="AC57" s="42" t="s">
        <v>1898</v>
      </c>
      <c r="AD57" s="42" t="s">
        <v>3154</v>
      </c>
      <c r="AE57" s="42" t="s">
        <v>3163</v>
      </c>
      <c r="AF57" s="42"/>
      <c r="AI57" s="1" t="s">
        <v>2829</v>
      </c>
      <c r="AJ57" s="91">
        <f>LOOKUP(AJ55,(A5:A1209),(G5:G1209))</f>
        <v>18</v>
      </c>
      <c r="AK57" s="67"/>
      <c r="AL57" s="59"/>
      <c r="AM57" s="98"/>
      <c r="AN57" s="229" t="str">
        <f>BJ51</f>
        <v/>
      </c>
      <c r="AO57" s="80"/>
      <c r="AP57" s="80"/>
      <c r="AQ57" s="80"/>
      <c r="AR57" s="80"/>
      <c r="AS57" s="80"/>
      <c r="AT57" s="235" t="s">
        <v>12</v>
      </c>
      <c r="AU57" s="4"/>
      <c r="AV57" s="236">
        <f ca="1">IF(AQ37=0,CW60,"")</f>
        <v>-5.7465176710614685</v>
      </c>
      <c r="AW57" s="55" t="str">
        <f>BJ94</f>
        <v/>
      </c>
      <c r="AX57" s="80"/>
      <c r="AY57" s="80"/>
      <c r="AZ57" s="80"/>
      <c r="BA57" s="80"/>
      <c r="BB57" s="80"/>
      <c r="BC57" s="230"/>
      <c r="BD57" s="98"/>
      <c r="BE57" s="85"/>
      <c r="BF57" s="61">
        <f>AZ27</f>
        <v>35.1</v>
      </c>
      <c r="BG57" s="1" t="s">
        <v>2731</v>
      </c>
      <c r="BH57" s="82">
        <f>IF(BH56=BG58,0,BF56)</f>
        <v>53</v>
      </c>
      <c r="BJ57" s="61">
        <f>AZ33</f>
        <v>45</v>
      </c>
      <c r="BK57" s="1" t="s">
        <v>2731</v>
      </c>
      <c r="BL57" s="82">
        <f>IF(BL56=BK58,0,BJ56)</f>
        <v>1</v>
      </c>
      <c r="BM57" s="266"/>
      <c r="BN57" s="42" t="s">
        <v>4075</v>
      </c>
      <c r="BO57" s="26">
        <f>IF(BO56&gt;18,0,3)</f>
        <v>0</v>
      </c>
      <c r="BT57" s="632" t="s">
        <v>4078</v>
      </c>
      <c r="BU57" s="633">
        <v>1</v>
      </c>
      <c r="BV57" s="266"/>
      <c r="BW57" s="271" t="s">
        <v>2766</v>
      </c>
      <c r="BX57" s="272"/>
      <c r="BY57" s="272"/>
      <c r="BZ57" s="272"/>
      <c r="CA57" s="272"/>
      <c r="CB57" s="272"/>
      <c r="CC57" s="272"/>
      <c r="CD57" s="272"/>
      <c r="CE57" s="272"/>
      <c r="CF57" s="272"/>
      <c r="CG57" s="272"/>
      <c r="CH57" s="272"/>
      <c r="CI57" s="273" t="s">
        <v>2767</v>
      </c>
      <c r="CJ57" s="272"/>
      <c r="CK57" s="272"/>
      <c r="CL57" s="272"/>
      <c r="CM57" s="272"/>
      <c r="CN57" s="272"/>
      <c r="CO57" s="272"/>
      <c r="CP57" s="272"/>
      <c r="CQ57" s="272"/>
      <c r="CR57" s="272"/>
      <c r="CS57" s="272"/>
      <c r="CT57" s="272"/>
      <c r="CU57" s="54"/>
      <c r="CV57" s="1" t="s">
        <v>2821</v>
      </c>
      <c r="CW57" s="91" t="str">
        <f ca="1">IF(CW53=0,CW40,"")</f>
        <v>ΑΝΑΤΟΛΙΚΑ</v>
      </c>
      <c r="CX57" s="54"/>
    </row>
    <row r="58" spans="1:102" ht="18.75">
      <c r="A58" s="335">
        <v>51</v>
      </c>
      <c r="B58" s="39" t="str">
        <f t="shared" si="0"/>
        <v>α lyr</v>
      </c>
      <c r="C58" s="39" t="str">
        <f t="shared" si="1"/>
        <v>μ 57</v>
      </c>
      <c r="F58" s="25" t="s">
        <v>1851</v>
      </c>
      <c r="G58" s="22">
        <v>9</v>
      </c>
      <c r="H58" s="22">
        <v>50</v>
      </c>
      <c r="I58" s="22">
        <v>59.4</v>
      </c>
      <c r="J58" s="22">
        <v>59</v>
      </c>
      <c r="K58" s="22">
        <v>2</v>
      </c>
      <c r="L58" s="22">
        <v>19</v>
      </c>
      <c r="M58" s="22" t="s">
        <v>116</v>
      </c>
      <c r="N58" s="22" t="s">
        <v>117</v>
      </c>
      <c r="R58" s="42" t="s">
        <v>2867</v>
      </c>
      <c r="S58" s="42" t="s">
        <v>2868</v>
      </c>
      <c r="T58" s="1" t="str">
        <f t="shared" si="2"/>
        <v>α</v>
      </c>
      <c r="U58" s="1" t="str">
        <f t="shared" si="3"/>
        <v>m</v>
      </c>
      <c r="V58" s="59"/>
      <c r="X58" s="42" t="s">
        <v>3164</v>
      </c>
      <c r="Y58" s="42" t="s">
        <v>230</v>
      </c>
      <c r="AA58" s="42" t="s">
        <v>1424</v>
      </c>
      <c r="AB58" s="42" t="s">
        <v>3165</v>
      </c>
      <c r="AC58" s="42" t="s">
        <v>2503</v>
      </c>
      <c r="AD58" s="42" t="s">
        <v>3166</v>
      </c>
      <c r="AE58" s="42" t="s">
        <v>3167</v>
      </c>
      <c r="AF58" s="42"/>
      <c r="AI58" s="1" t="s">
        <v>2830</v>
      </c>
      <c r="AJ58" s="91">
        <f>LOOKUP(AJ55,(A5:A1209),(H5:H1209))</f>
        <v>53</v>
      </c>
      <c r="AK58" s="67"/>
      <c r="AL58" s="59"/>
      <c r="AM58" s="98"/>
      <c r="AN58" s="229" t="str">
        <f>BJ52</f>
        <v/>
      </c>
      <c r="AO58" s="80"/>
      <c r="AP58" s="80"/>
      <c r="AQ58" s="80"/>
      <c r="AR58" s="80"/>
      <c r="AS58" s="80"/>
      <c r="AT58" s="237" t="str">
        <f ca="1">IF(AQ37=0,CW61,"")</f>
        <v>ΝΟΤΙΑ</v>
      </c>
      <c r="AU58" s="80"/>
      <c r="AV58" s="230"/>
      <c r="AW58" s="55" t="str">
        <f>BJ95</f>
        <v/>
      </c>
      <c r="AX58" s="80"/>
      <c r="AY58" s="80"/>
      <c r="AZ58" s="80"/>
      <c r="BA58" s="80"/>
      <c r="BB58" s="80"/>
      <c r="BC58" s="230"/>
      <c r="BD58" s="98"/>
      <c r="BE58" s="85"/>
      <c r="BG58" s="1" t="b">
        <v>0</v>
      </c>
      <c r="BH58" s="1" t="b">
        <f>ISNUMBER(BF57)</f>
        <v>1</v>
      </c>
      <c r="BK58" s="1" t="b">
        <v>0</v>
      </c>
      <c r="BL58" s="1" t="b">
        <f>ISNUMBER(BJ57)</f>
        <v>1</v>
      </c>
      <c r="BM58" s="266"/>
      <c r="BN58" s="42" t="s">
        <v>4077</v>
      </c>
      <c r="BO58" s="42">
        <f>IF(BO54&gt;6,BO54,1000)</f>
        <v>18.615638888888888</v>
      </c>
      <c r="BT58" s="23" t="s">
        <v>4064</v>
      </c>
      <c r="BU58" s="372">
        <f ca="1">BU45</f>
        <v>-5.3731595523215798</v>
      </c>
      <c r="BV58" s="266"/>
      <c r="BW58" s="272"/>
      <c r="BX58" s="39"/>
      <c r="BY58" s="39" t="s">
        <v>2679</v>
      </c>
      <c r="BZ58" s="39" t="b">
        <f ca="1">ISNUMBER(BX65)</f>
        <v>1</v>
      </c>
      <c r="CA58" s="39"/>
      <c r="CB58" s="39" t="s">
        <v>2665</v>
      </c>
      <c r="CC58" s="68">
        <f ca="1">BZ63</f>
        <v>18.626840447678418</v>
      </c>
      <c r="CD58" s="39"/>
      <c r="CE58" s="39"/>
      <c r="CF58" s="39" t="s">
        <v>2665</v>
      </c>
      <c r="CG58" s="68">
        <f ca="1">CE82</f>
        <v>37.610426860705104</v>
      </c>
      <c r="CH58" s="39"/>
      <c r="CI58" s="272"/>
      <c r="CJ58" s="39"/>
      <c r="CK58" s="39" t="s">
        <v>2679</v>
      </c>
      <c r="CL58" s="39" t="b">
        <f ca="1">ISNUMBER(CJ65)</f>
        <v>1</v>
      </c>
      <c r="CM58" s="39"/>
      <c r="CN58" s="39" t="s">
        <v>2665</v>
      </c>
      <c r="CO58" s="68">
        <f ca="1">CL63</f>
        <v>38.801603480624856</v>
      </c>
      <c r="CP58" s="39"/>
      <c r="CQ58" s="39"/>
      <c r="CR58" s="39" t="s">
        <v>2665</v>
      </c>
      <c r="CS58" s="68">
        <f ca="1">CQ82</f>
        <v>48.096208837491332</v>
      </c>
      <c r="CT58" s="39"/>
      <c r="CU58" s="285"/>
      <c r="CV58" s="1" t="s">
        <v>2707</v>
      </c>
      <c r="CW58" s="91">
        <f ca="1">IF(CW53=0,CW41,"")</f>
        <v>-1.6718087888650075</v>
      </c>
      <c r="CX58" s="54"/>
    </row>
    <row r="59" spans="1:102" ht="18.75">
      <c r="A59" s="335">
        <v>52</v>
      </c>
      <c r="B59" s="39" t="str">
        <f t="shared" si="0"/>
        <v>α lyr</v>
      </c>
      <c r="C59" s="39" t="str">
        <f t="shared" si="1"/>
        <v>μ 57</v>
      </c>
      <c r="F59" s="25" t="s">
        <v>1852</v>
      </c>
      <c r="G59" s="22">
        <v>11</v>
      </c>
      <c r="H59" s="22">
        <v>46</v>
      </c>
      <c r="I59" s="22">
        <v>3</v>
      </c>
      <c r="J59" s="22">
        <v>47</v>
      </c>
      <c r="K59" s="22">
        <v>46</v>
      </c>
      <c r="L59" s="22">
        <v>46</v>
      </c>
      <c r="M59" s="22" t="s">
        <v>118</v>
      </c>
      <c r="N59" s="22" t="s">
        <v>119</v>
      </c>
      <c r="R59" s="42" t="s">
        <v>2869</v>
      </c>
      <c r="S59" s="42" t="s">
        <v>2868</v>
      </c>
      <c r="T59" s="1" t="str">
        <f t="shared" si="2"/>
        <v>α</v>
      </c>
      <c r="U59" s="1" t="str">
        <f t="shared" si="3"/>
        <v>m</v>
      </c>
      <c r="V59" s="59"/>
      <c r="X59" s="42" t="s">
        <v>3095</v>
      </c>
      <c r="Y59" s="42" t="s">
        <v>230</v>
      </c>
      <c r="AA59" s="42" t="s">
        <v>1758</v>
      </c>
      <c r="AB59" s="42" t="s">
        <v>3398</v>
      </c>
      <c r="AC59" s="42" t="s">
        <v>2653</v>
      </c>
      <c r="AD59" s="42" t="s">
        <v>3168</v>
      </c>
      <c r="AE59" s="42" t="s">
        <v>3169</v>
      </c>
      <c r="AF59" s="42"/>
      <c r="AI59" s="1" t="s">
        <v>2831</v>
      </c>
      <c r="AJ59" s="91">
        <f>LOOKUP(AJ55,(A5:A1209),(I5:I1209))</f>
        <v>35.1</v>
      </c>
      <c r="AK59" s="67"/>
      <c r="AL59" s="59"/>
      <c r="AM59" s="98"/>
      <c r="AN59" s="241"/>
      <c r="AO59" s="80"/>
      <c r="AP59" s="55" t="str">
        <f>IF(BJ43=0,"","Μοίρες")</f>
        <v/>
      </c>
      <c r="AQ59" s="80"/>
      <c r="AR59" s="80"/>
      <c r="AS59" s="55" t="str">
        <f>IF(BJ43=0,"",AS31)</f>
        <v/>
      </c>
      <c r="AT59" s="239" t="s">
        <v>2707</v>
      </c>
      <c r="AU59" s="240"/>
      <c r="AV59" s="295">
        <f ca="1">IF(AQ37=0,CW62,"")</f>
        <v>-2.2986070684245874</v>
      </c>
      <c r="AW59" s="55" t="str">
        <f>IF(BJ86=0,"","Μοίρες")</f>
        <v/>
      </c>
      <c r="AX59" s="80"/>
      <c r="AY59" s="80"/>
      <c r="AZ59" s="55" t="str">
        <f>IF(BJ86=0,"",AZ31)</f>
        <v/>
      </c>
      <c r="BA59" s="80"/>
      <c r="BB59" s="80"/>
      <c r="BC59" s="230"/>
      <c r="BD59" s="98"/>
      <c r="BE59" s="85"/>
      <c r="BH59" s="82">
        <f>IF(BH58=BG58,0,BF57)</f>
        <v>35.1</v>
      </c>
      <c r="BL59" s="82">
        <f>IF(BL58=BK58,0,BJ57)</f>
        <v>45</v>
      </c>
      <c r="BM59" s="266"/>
      <c r="BN59" s="42" t="s">
        <v>4079</v>
      </c>
      <c r="BO59" s="26">
        <f>IF(BO58&gt;12,0,2)</f>
        <v>0</v>
      </c>
      <c r="BT59" s="43" t="s">
        <v>4111</v>
      </c>
      <c r="BU59" s="636">
        <f ca="1">24+BU58</f>
        <v>18.626840447678418</v>
      </c>
      <c r="BV59" s="266"/>
      <c r="BW59" s="272"/>
      <c r="BX59" s="39"/>
      <c r="BY59" s="39" t="b">
        <v>0</v>
      </c>
      <c r="BZ59" s="274">
        <f ca="1">IF(BZ58=BY59,0,BX65)</f>
        <v>18.626840447678418</v>
      </c>
      <c r="CA59" s="39"/>
      <c r="CB59" s="39">
        <v>90</v>
      </c>
      <c r="CC59" s="39">
        <f ca="1">IF(CB59&gt;CC58,CC58,-1)</f>
        <v>18.626840447678418</v>
      </c>
      <c r="CD59" s="39">
        <f ca="1">IF(CC59=-1,10,0)</f>
        <v>0</v>
      </c>
      <c r="CE59" s="39"/>
      <c r="CF59" s="39">
        <v>90</v>
      </c>
      <c r="CG59" s="39">
        <f ca="1">IF(CF59&gt;CG58,CG58,-1)</f>
        <v>37.610426860705104</v>
      </c>
      <c r="CH59" s="39">
        <f ca="1">IF(CG59=-1,10,0)</f>
        <v>0</v>
      </c>
      <c r="CI59" s="272"/>
      <c r="CJ59" s="39"/>
      <c r="CK59" s="39" t="b">
        <v>0</v>
      </c>
      <c r="CL59" s="274">
        <f ca="1">IF(CL58=CK59,0,CJ65)</f>
        <v>38.801603480624856</v>
      </c>
      <c r="CM59" s="39"/>
      <c r="CN59" s="39">
        <v>90</v>
      </c>
      <c r="CO59" s="39">
        <f ca="1">IF(CN59&gt;CO58,CO58,-1)</f>
        <v>38.801603480624856</v>
      </c>
      <c r="CP59" s="39">
        <f ca="1">IF(CO59=-1,10,0)</f>
        <v>0</v>
      </c>
      <c r="CQ59" s="39"/>
      <c r="CR59" s="39">
        <v>90</v>
      </c>
      <c r="CS59" s="39">
        <f ca="1">IF(CR59&gt;CS58,CS58,-1)</f>
        <v>48.096208837491332</v>
      </c>
      <c r="CT59" s="39">
        <f ca="1">IF(CS59=-1,10,0)</f>
        <v>0</v>
      </c>
      <c r="CU59" s="285"/>
      <c r="CV59" s="63" t="s">
        <v>2822</v>
      </c>
      <c r="CX59" s="54"/>
    </row>
    <row r="60" spans="1:102">
      <c r="A60" s="335">
        <v>53</v>
      </c>
      <c r="B60" s="39" t="str">
        <f t="shared" si="0"/>
        <v>α lyr</v>
      </c>
      <c r="C60" s="39" t="str">
        <f t="shared" si="1"/>
        <v>μ 57</v>
      </c>
      <c r="F60" s="25" t="s">
        <v>1853</v>
      </c>
      <c r="G60" s="22">
        <v>11</v>
      </c>
      <c r="H60" s="22">
        <v>9</v>
      </c>
      <c r="I60" s="22">
        <v>39.799999999999997</v>
      </c>
      <c r="J60" s="22">
        <v>44</v>
      </c>
      <c r="K60" s="22">
        <v>29</v>
      </c>
      <c r="L60" s="22">
        <v>55</v>
      </c>
      <c r="M60" s="22" t="s">
        <v>120</v>
      </c>
      <c r="N60" s="22" t="s">
        <v>121</v>
      </c>
      <c r="R60" s="42" t="s">
        <v>2870</v>
      </c>
      <c r="S60" s="42" t="s">
        <v>2868</v>
      </c>
      <c r="T60" s="1" t="str">
        <f t="shared" si="2"/>
        <v>α</v>
      </c>
      <c r="U60" s="1" t="str">
        <f t="shared" si="3"/>
        <v>m</v>
      </c>
      <c r="V60" s="59"/>
      <c r="X60" s="42" t="s">
        <v>3170</v>
      </c>
      <c r="Y60" s="42" t="s">
        <v>230</v>
      </c>
      <c r="AA60" s="42" t="s">
        <v>1514</v>
      </c>
      <c r="AB60" s="42" t="s">
        <v>3171</v>
      </c>
      <c r="AC60" s="42" t="s">
        <v>2548</v>
      </c>
      <c r="AD60" s="42" t="s">
        <v>3172</v>
      </c>
      <c r="AE60" s="42" t="s">
        <v>3173</v>
      </c>
      <c r="AF60" s="42"/>
      <c r="AI60" s="90" t="s">
        <v>2685</v>
      </c>
      <c r="AK60" s="67"/>
      <c r="AL60" s="59"/>
      <c r="AM60" s="98"/>
      <c r="AN60" s="229"/>
      <c r="AO60" s="80"/>
      <c r="AP60" s="55" t="str">
        <f>IF(BJ43=0,"","Λεπτά")</f>
        <v/>
      </c>
      <c r="AQ60" s="80"/>
      <c r="AR60" s="80"/>
      <c r="AS60" s="55" t="str">
        <f>IF(BJ43=0,"",AS32)</f>
        <v/>
      </c>
      <c r="AT60" s="56" t="s">
        <v>2673</v>
      </c>
      <c r="AU60" s="249" t="str">
        <f>Φύλλο2!AE60</f>
        <v>α lyr</v>
      </c>
      <c r="AV60" s="80"/>
      <c r="AW60" s="55" t="str">
        <f>IF(BJ86=0,"","Λεπτά")</f>
        <v/>
      </c>
      <c r="AX60" s="80"/>
      <c r="AY60" s="80"/>
      <c r="AZ60" s="55" t="str">
        <f>IF(BJ86=0,"",AZ32)</f>
        <v/>
      </c>
      <c r="BA60" s="80"/>
      <c r="BB60" s="80"/>
      <c r="BC60" s="230"/>
      <c r="BD60" s="98"/>
      <c r="BE60" s="85"/>
      <c r="BG60" s="1" t="s">
        <v>2735</v>
      </c>
      <c r="BH60" s="1">
        <f>IF(BH55&lt;0,0,1)</f>
        <v>1</v>
      </c>
      <c r="BK60" s="1" t="s">
        <v>2735</v>
      </c>
      <c r="BL60" s="1">
        <f>IF(BL55&lt;0,0,1)</f>
        <v>1</v>
      </c>
      <c r="BM60" s="266"/>
      <c r="BN60" s="42" t="s">
        <v>4080</v>
      </c>
      <c r="BO60" s="26">
        <f>IF(BO54&gt;6,0,1)</f>
        <v>0</v>
      </c>
      <c r="BT60" s="191" t="s">
        <v>4112</v>
      </c>
      <c r="BU60" s="91">
        <f ca="1">IF(BU58&lt;0,BU59,BU58)</f>
        <v>18.626840447678418</v>
      </c>
      <c r="BV60" s="266"/>
      <c r="BW60" s="272"/>
      <c r="BX60" s="39"/>
      <c r="BY60" s="39" t="s">
        <v>2768</v>
      </c>
      <c r="BZ60" s="86">
        <f ca="1">BZ59*-1</f>
        <v>-18.626840447678418</v>
      </c>
      <c r="CA60" s="39"/>
      <c r="CB60" s="39">
        <v>80</v>
      </c>
      <c r="CC60" s="39">
        <f t="shared" ref="CC60:CC67" ca="1" si="4">IF(CB60&gt;CC59,CC59,-1)</f>
        <v>18.626840447678418</v>
      </c>
      <c r="CD60" s="39">
        <f t="shared" ref="CD60:CD67" ca="1" si="5">IF(CC60=-1,10,0)</f>
        <v>0</v>
      </c>
      <c r="CE60" s="39"/>
      <c r="CF60" s="39">
        <v>80</v>
      </c>
      <c r="CG60" s="39">
        <f t="shared" ref="CG60:CG67" ca="1" si="6">IF(CF60&gt;CG59,CG59,-1)</f>
        <v>37.610426860705104</v>
      </c>
      <c r="CH60" s="39">
        <f t="shared" ref="CH60:CH67" ca="1" si="7">IF(CG60=-1,10,0)</f>
        <v>0</v>
      </c>
      <c r="CI60" s="272"/>
      <c r="CJ60" s="39"/>
      <c r="CK60" s="39" t="s">
        <v>2768</v>
      </c>
      <c r="CL60" s="86">
        <f ca="1">CL59*-1</f>
        <v>-38.801603480624856</v>
      </c>
      <c r="CM60" s="39"/>
      <c r="CN60" s="39">
        <v>80</v>
      </c>
      <c r="CO60" s="39">
        <f t="shared" ref="CO60:CO67" ca="1" si="8">IF(CN60&gt;CO59,CO59,-1)</f>
        <v>38.801603480624856</v>
      </c>
      <c r="CP60" s="39">
        <f t="shared" ref="CP60:CP67" ca="1" si="9">IF(CO60=-1,10,0)</f>
        <v>0</v>
      </c>
      <c r="CQ60" s="39"/>
      <c r="CR60" s="39">
        <v>80</v>
      </c>
      <c r="CS60" s="39">
        <f t="shared" ref="CS60:CS67" ca="1" si="10">IF(CR60&gt;CS59,CS59,-1)</f>
        <v>48.096208837491332</v>
      </c>
      <c r="CT60" s="39">
        <f t="shared" ref="CT60:CT67" ca="1" si="11">IF(CS60=-1,10,0)</f>
        <v>0</v>
      </c>
      <c r="CU60" s="285"/>
      <c r="CV60" s="1" t="s">
        <v>12</v>
      </c>
      <c r="CW60" s="91">
        <f ca="1">IF(CW53=0,CW47,"")</f>
        <v>-5.7465176710614685</v>
      </c>
      <c r="CX60" s="54"/>
    </row>
    <row r="61" spans="1:102">
      <c r="A61" s="335">
        <v>54</v>
      </c>
      <c r="B61" s="39" t="str">
        <f t="shared" si="0"/>
        <v>α lyr</v>
      </c>
      <c r="C61" s="39" t="str">
        <f t="shared" si="1"/>
        <v>μ 57</v>
      </c>
      <c r="F61" s="27" t="s">
        <v>1854</v>
      </c>
      <c r="G61" s="26"/>
      <c r="H61" s="26"/>
      <c r="I61" s="26"/>
      <c r="J61" s="26"/>
      <c r="K61" s="26"/>
      <c r="L61" s="26"/>
      <c r="M61" s="26" t="s">
        <v>122</v>
      </c>
      <c r="N61" s="30" t="s">
        <v>123</v>
      </c>
      <c r="R61" s="42" t="s">
        <v>2871</v>
      </c>
      <c r="S61" s="42" t="s">
        <v>2872</v>
      </c>
      <c r="T61" s="1" t="str">
        <f t="shared" si="2"/>
        <v>α</v>
      </c>
      <c r="U61" s="1" t="str">
        <f t="shared" si="3"/>
        <v>m</v>
      </c>
      <c r="V61" s="59"/>
      <c r="X61" s="42" t="s">
        <v>3174</v>
      </c>
      <c r="Y61" s="42" t="s">
        <v>230</v>
      </c>
      <c r="AA61" s="42" t="s">
        <v>1488</v>
      </c>
      <c r="AB61" s="42" t="s">
        <v>3175</v>
      </c>
      <c r="AC61" s="42" t="s">
        <v>2535</v>
      </c>
      <c r="AD61" s="42" t="s">
        <v>3176</v>
      </c>
      <c r="AE61" s="42" t="s">
        <v>3177</v>
      </c>
      <c r="AF61" s="42"/>
      <c r="AI61" s="1" t="s">
        <v>2832</v>
      </c>
      <c r="AJ61" s="91">
        <f>LOOKUP(AJ55,(A5:A1209),(J5:J1209))</f>
        <v>33</v>
      </c>
      <c r="AK61" s="67"/>
      <c r="AL61" s="59"/>
      <c r="AM61" s="98"/>
      <c r="AN61" s="229"/>
      <c r="AO61" s="80"/>
      <c r="AP61" s="55" t="str">
        <f>IF(BJ43=0,"","Δευτερόλεπτα")</f>
        <v/>
      </c>
      <c r="AQ61" s="80"/>
      <c r="AR61" s="80"/>
      <c r="AS61" s="55" t="str">
        <f>IF(BJ43=0,"",AS33)</f>
        <v/>
      </c>
      <c r="AT61" s="57" t="s">
        <v>2667</v>
      </c>
      <c r="AU61" s="249" t="str">
        <f>Φύλλο2!AF60</f>
        <v>m 57</v>
      </c>
      <c r="AV61" s="80"/>
      <c r="AW61" s="55" t="str">
        <f>IF(BJ86=0,"","Δευτερόλεπτα")</f>
        <v/>
      </c>
      <c r="AX61" s="80"/>
      <c r="AY61" s="80"/>
      <c r="AZ61" s="55" t="str">
        <f>IF(BJ86=0,"",AZ33)</f>
        <v/>
      </c>
      <c r="BA61" s="80"/>
      <c r="BB61" s="80"/>
      <c r="BC61" s="230"/>
      <c r="BD61" s="98"/>
      <c r="BE61" s="85"/>
      <c r="BH61" s="1">
        <f>IF(BH57&lt;0,0,1)</f>
        <v>1</v>
      </c>
      <c r="BL61" s="1">
        <f>IF(BL57&lt;0,0,1)</f>
        <v>1</v>
      </c>
      <c r="BM61" s="266"/>
      <c r="BN61" s="191" t="s">
        <v>4081</v>
      </c>
      <c r="BO61" s="630">
        <f>BO60+BO59+BO57+BO55</f>
        <v>4</v>
      </c>
      <c r="BT61" s="86"/>
      <c r="BU61" s="86"/>
      <c r="BV61" s="266"/>
      <c r="BW61" s="272"/>
      <c r="BX61" s="39"/>
      <c r="BY61" s="39" t="s">
        <v>2769</v>
      </c>
      <c r="BZ61" s="80">
        <f ca="1">IF(BZ60&lt;0,BZ59,BZ60)</f>
        <v>18.626840447678418</v>
      </c>
      <c r="CA61" s="39"/>
      <c r="CB61" s="39">
        <v>70</v>
      </c>
      <c r="CC61" s="39">
        <f t="shared" ca="1" si="4"/>
        <v>18.626840447678418</v>
      </c>
      <c r="CD61" s="39">
        <f t="shared" ca="1" si="5"/>
        <v>0</v>
      </c>
      <c r="CE61" s="39"/>
      <c r="CF61" s="39">
        <v>70</v>
      </c>
      <c r="CG61" s="39">
        <f t="shared" ca="1" si="6"/>
        <v>37.610426860705104</v>
      </c>
      <c r="CH61" s="39">
        <f t="shared" ca="1" si="7"/>
        <v>0</v>
      </c>
      <c r="CI61" s="272"/>
      <c r="CJ61" s="39"/>
      <c r="CK61" s="39" t="s">
        <v>2769</v>
      </c>
      <c r="CL61" s="80">
        <f ca="1">IF(CL60&lt;0,CL59,CL60)</f>
        <v>38.801603480624856</v>
      </c>
      <c r="CM61" s="39"/>
      <c r="CN61" s="39">
        <v>70</v>
      </c>
      <c r="CO61" s="39">
        <f t="shared" ca="1" si="8"/>
        <v>38.801603480624856</v>
      </c>
      <c r="CP61" s="39">
        <f t="shared" ca="1" si="9"/>
        <v>0</v>
      </c>
      <c r="CQ61" s="39"/>
      <c r="CR61" s="39">
        <v>70</v>
      </c>
      <c r="CS61" s="39">
        <f t="shared" ca="1" si="10"/>
        <v>48.096208837491332</v>
      </c>
      <c r="CT61" s="39">
        <f t="shared" ca="1" si="11"/>
        <v>0</v>
      </c>
      <c r="CU61" s="285"/>
      <c r="CV61" s="1" t="s">
        <v>2821</v>
      </c>
      <c r="CW61" s="91" t="str">
        <f ca="1">IF(CW53=0,CW48,"")</f>
        <v>ΝΟΤΙΑ</v>
      </c>
      <c r="CX61" s="54"/>
    </row>
    <row r="62" spans="1:102">
      <c r="A62" s="335">
        <v>55</v>
      </c>
      <c r="B62" s="39" t="str">
        <f t="shared" si="0"/>
        <v>α lyr</v>
      </c>
      <c r="C62" s="39" t="str">
        <f t="shared" si="1"/>
        <v>μ 57</v>
      </c>
      <c r="F62" s="25" t="s">
        <v>1855</v>
      </c>
      <c r="G62" s="22">
        <v>2</v>
      </c>
      <c r="H62" s="22">
        <v>31</v>
      </c>
      <c r="I62" s="22">
        <v>49.1</v>
      </c>
      <c r="J62" s="22">
        <v>89</v>
      </c>
      <c r="K62" s="22">
        <v>15</v>
      </c>
      <c r="L62" s="22">
        <v>51</v>
      </c>
      <c r="M62" s="22" t="s">
        <v>124</v>
      </c>
      <c r="N62" s="22" t="s">
        <v>125</v>
      </c>
      <c r="R62" s="42" t="s">
        <v>2873</v>
      </c>
      <c r="S62" s="42" t="s">
        <v>2872</v>
      </c>
      <c r="T62" s="1" t="str">
        <f t="shared" si="2"/>
        <v>α</v>
      </c>
      <c r="U62" s="1" t="str">
        <f t="shared" si="3"/>
        <v>m</v>
      </c>
      <c r="V62" s="59"/>
      <c r="X62" s="42" t="s">
        <v>3178</v>
      </c>
      <c r="Y62" s="42" t="s">
        <v>244</v>
      </c>
      <c r="AA62" s="42" t="s">
        <v>3179</v>
      </c>
      <c r="AB62" s="42" t="s">
        <v>3009</v>
      </c>
      <c r="AC62" s="42" t="s">
        <v>2652</v>
      </c>
      <c r="AD62" s="42" t="s">
        <v>3180</v>
      </c>
      <c r="AE62" s="42" t="s">
        <v>3181</v>
      </c>
      <c r="AF62" s="42"/>
      <c r="AI62" s="1" t="s">
        <v>2833</v>
      </c>
      <c r="AJ62" s="91">
        <f>LOOKUP(AJ55,(A5:A1209),(K5:K1209))</f>
        <v>1</v>
      </c>
      <c r="AK62" s="67"/>
      <c r="AL62" s="59"/>
      <c r="AM62" s="98"/>
      <c r="AN62" s="102" t="str">
        <f>AJ53</f>
        <v>α Λύρας. Βέγας</v>
      </c>
      <c r="AO62" s="7"/>
      <c r="AP62" s="7"/>
      <c r="AQ62" s="7"/>
      <c r="AR62" s="7"/>
      <c r="AS62" s="7"/>
      <c r="AT62" s="242" t="s">
        <v>2711</v>
      </c>
      <c r="AU62" s="7"/>
      <c r="AV62" s="105" t="str">
        <f>AJ71</f>
        <v xml:space="preserve">Μ57 Πλανητικό Νεφέλωμα Ευρυδίκη </v>
      </c>
      <c r="AW62" s="7"/>
      <c r="AX62" s="7"/>
      <c r="AY62" s="7"/>
      <c r="AZ62" s="7"/>
      <c r="BA62" s="7"/>
      <c r="BB62" s="7"/>
      <c r="BC62" s="106"/>
      <c r="BD62" s="98"/>
      <c r="BE62" s="85"/>
      <c r="BH62" s="1">
        <f>IF(BH59&lt;0,0,1)</f>
        <v>1</v>
      </c>
      <c r="BL62" s="1">
        <f>IF(BL59&lt;0,0,1)</f>
        <v>1</v>
      </c>
      <c r="BM62" s="266"/>
      <c r="BV62" s="266"/>
      <c r="BW62" s="272"/>
      <c r="BX62" s="39"/>
      <c r="BY62" s="268" t="s">
        <v>2770</v>
      </c>
      <c r="BZ62" s="268">
        <f ca="1">IF(BZ59&lt;0,2,1)</f>
        <v>1</v>
      </c>
      <c r="CA62" s="39"/>
      <c r="CB62" s="39">
        <v>60</v>
      </c>
      <c r="CC62" s="39">
        <f t="shared" ca="1" si="4"/>
        <v>18.626840447678418</v>
      </c>
      <c r="CD62" s="39">
        <f t="shared" ca="1" si="5"/>
        <v>0</v>
      </c>
      <c r="CE62" s="39"/>
      <c r="CF62" s="39">
        <v>60</v>
      </c>
      <c r="CG62" s="39">
        <f t="shared" ca="1" si="6"/>
        <v>37.610426860705104</v>
      </c>
      <c r="CH62" s="39">
        <f t="shared" ca="1" si="7"/>
        <v>0</v>
      </c>
      <c r="CI62" s="272"/>
      <c r="CJ62" s="39"/>
      <c r="CK62" s="268" t="s">
        <v>2770</v>
      </c>
      <c r="CL62" s="268">
        <f ca="1">IF(CL59&lt;0,2,1)</f>
        <v>1</v>
      </c>
      <c r="CM62" s="39"/>
      <c r="CN62" s="39">
        <v>60</v>
      </c>
      <c r="CO62" s="39">
        <f t="shared" ca="1" si="8"/>
        <v>38.801603480624856</v>
      </c>
      <c r="CP62" s="39">
        <f t="shared" ca="1" si="9"/>
        <v>0</v>
      </c>
      <c r="CQ62" s="39"/>
      <c r="CR62" s="39">
        <v>60</v>
      </c>
      <c r="CS62" s="39">
        <f t="shared" ca="1" si="10"/>
        <v>48.096208837491332</v>
      </c>
      <c r="CT62" s="39">
        <f t="shared" ca="1" si="11"/>
        <v>0</v>
      </c>
      <c r="CU62" s="285"/>
      <c r="CV62" s="1" t="s">
        <v>2707</v>
      </c>
      <c r="CW62" s="91">
        <f ca="1">IF(CW53=0,CW49,"")</f>
        <v>-2.2986070684245874</v>
      </c>
      <c r="CX62" s="54"/>
    </row>
    <row r="63" spans="1:102">
      <c r="A63" s="335">
        <v>56</v>
      </c>
      <c r="B63" s="39" t="str">
        <f t="shared" si="0"/>
        <v>α lyr</v>
      </c>
      <c r="C63" s="39" t="str">
        <f t="shared" si="1"/>
        <v>μ 57</v>
      </c>
      <c r="F63" s="25" t="s">
        <v>1856</v>
      </c>
      <c r="G63" s="22">
        <v>14</v>
      </c>
      <c r="H63" s="22">
        <v>50</v>
      </c>
      <c r="I63" s="22">
        <v>42.3</v>
      </c>
      <c r="J63" s="22">
        <v>74</v>
      </c>
      <c r="K63" s="22">
        <v>9</v>
      </c>
      <c r="L63" s="22">
        <v>20</v>
      </c>
      <c r="M63" s="22" t="s">
        <v>126</v>
      </c>
      <c r="N63" s="22" t="s">
        <v>127</v>
      </c>
      <c r="R63" s="42" t="s">
        <v>2874</v>
      </c>
      <c r="S63" s="42" t="s">
        <v>2872</v>
      </c>
      <c r="T63" s="1" t="str">
        <f t="shared" si="2"/>
        <v>α</v>
      </c>
      <c r="U63" s="1" t="str">
        <f t="shared" si="3"/>
        <v>m</v>
      </c>
      <c r="V63" s="59"/>
      <c r="X63" s="42" t="s">
        <v>3116</v>
      </c>
      <c r="Y63" s="42" t="s">
        <v>244</v>
      </c>
      <c r="AA63" s="42" t="s">
        <v>425</v>
      </c>
      <c r="AB63" s="42" t="s">
        <v>3182</v>
      </c>
      <c r="AC63" s="42" t="s">
        <v>2000</v>
      </c>
      <c r="AD63" s="42" t="s">
        <v>3183</v>
      </c>
      <c r="AE63" s="42" t="s">
        <v>3184</v>
      </c>
      <c r="AF63" s="42"/>
      <c r="AI63" s="1" t="s">
        <v>2834</v>
      </c>
      <c r="AJ63" s="91">
        <f>LOOKUP(AJ55,(A5:A1209),(L5:L1209))</f>
        <v>45</v>
      </c>
      <c r="AK63" s="67"/>
      <c r="AL63" s="59"/>
      <c r="AM63" s="98"/>
      <c r="AN63" s="102" t="str">
        <f>AJ54</f>
        <v>α Lyra.Vega</v>
      </c>
      <c r="AO63" s="7"/>
      <c r="AP63" s="7"/>
      <c r="AQ63" s="7"/>
      <c r="AR63" s="7"/>
      <c r="AS63" s="7"/>
      <c r="AT63" s="7"/>
      <c r="AU63" s="7"/>
      <c r="AV63" s="105" t="str">
        <f ca="1">AJ72</f>
        <v>Δακτυλιοειδές. 2.300 LY</v>
      </c>
      <c r="AW63" s="105"/>
      <c r="AX63" s="7"/>
      <c r="AY63" s="7"/>
      <c r="AZ63" s="7"/>
      <c r="BA63" s="7"/>
      <c r="BB63" s="7"/>
      <c r="BC63" s="106"/>
      <c r="BD63" s="98"/>
      <c r="BE63" s="85"/>
      <c r="BG63" s="1" t="s">
        <v>2736</v>
      </c>
      <c r="BH63" s="87">
        <f>BH60+BH61+BH62</f>
        <v>3</v>
      </c>
      <c r="BK63" s="1" t="s">
        <v>2736</v>
      </c>
      <c r="BL63" s="87">
        <f>BL60+BL61+BL62</f>
        <v>3</v>
      </c>
      <c r="BM63" s="266"/>
      <c r="BN63" s="612" t="s">
        <v>4076</v>
      </c>
      <c r="BV63" s="266"/>
      <c r="BW63" s="272"/>
      <c r="BX63" s="39"/>
      <c r="BY63" s="39" t="s">
        <v>2771</v>
      </c>
      <c r="BZ63" s="275">
        <f ca="1">IF(BZ61&gt;100,0,BZ61)</f>
        <v>18.626840447678418</v>
      </c>
      <c r="CA63" s="39"/>
      <c r="CB63" s="39">
        <v>50</v>
      </c>
      <c r="CC63" s="39">
        <f t="shared" ca="1" si="4"/>
        <v>18.626840447678418</v>
      </c>
      <c r="CD63" s="39">
        <f t="shared" ca="1" si="5"/>
        <v>0</v>
      </c>
      <c r="CE63" s="39"/>
      <c r="CF63" s="39">
        <v>50</v>
      </c>
      <c r="CG63" s="39">
        <f t="shared" ca="1" si="6"/>
        <v>37.610426860705104</v>
      </c>
      <c r="CH63" s="39">
        <f t="shared" ca="1" si="7"/>
        <v>0</v>
      </c>
      <c r="CI63" s="272"/>
      <c r="CJ63" s="39"/>
      <c r="CK63" s="39" t="s">
        <v>2771</v>
      </c>
      <c r="CL63" s="275">
        <f ca="1">IF(CL61&gt;100,0,CL61)</f>
        <v>38.801603480624856</v>
      </c>
      <c r="CM63" s="39"/>
      <c r="CN63" s="39">
        <v>50</v>
      </c>
      <c r="CO63" s="39">
        <f t="shared" ca="1" si="8"/>
        <v>38.801603480624856</v>
      </c>
      <c r="CP63" s="39">
        <f t="shared" ca="1" si="9"/>
        <v>0</v>
      </c>
      <c r="CQ63" s="39"/>
      <c r="CR63" s="39">
        <v>50</v>
      </c>
      <c r="CS63" s="39">
        <f t="shared" ca="1" si="10"/>
        <v>48.096208837491332</v>
      </c>
      <c r="CT63" s="39">
        <f t="shared" ca="1" si="11"/>
        <v>0</v>
      </c>
      <c r="CU63" s="285"/>
      <c r="CX63" s="54"/>
    </row>
    <row r="64" spans="1:102">
      <c r="A64" s="335">
        <v>57</v>
      </c>
      <c r="B64" s="39" t="str">
        <f t="shared" si="0"/>
        <v>α lyr</v>
      </c>
      <c r="C64" s="39" t="str">
        <f t="shared" si="1"/>
        <v>μ 57</v>
      </c>
      <c r="F64" s="25" t="s">
        <v>1857</v>
      </c>
      <c r="G64" s="22">
        <v>15</v>
      </c>
      <c r="H64" s="22">
        <v>20</v>
      </c>
      <c r="I64" s="22">
        <v>43.7</v>
      </c>
      <c r="J64" s="22">
        <v>71</v>
      </c>
      <c r="K64" s="22">
        <v>50</v>
      </c>
      <c r="L64" s="22">
        <v>2</v>
      </c>
      <c r="M64" s="22" t="s">
        <v>128</v>
      </c>
      <c r="N64" s="22" t="s">
        <v>129</v>
      </c>
      <c r="R64" s="42" t="s">
        <v>2875</v>
      </c>
      <c r="S64" s="42" t="s">
        <v>2876</v>
      </c>
      <c r="T64" s="1" t="str">
        <f t="shared" si="2"/>
        <v>α</v>
      </c>
      <c r="U64" s="1" t="str">
        <f t="shared" si="3"/>
        <v>m</v>
      </c>
      <c r="V64" s="59"/>
      <c r="X64" s="42" t="s">
        <v>3185</v>
      </c>
      <c r="Y64" s="42" t="s">
        <v>262</v>
      </c>
      <c r="AA64" s="42" t="s">
        <v>455</v>
      </c>
      <c r="AB64" s="42" t="s">
        <v>3186</v>
      </c>
      <c r="AC64" s="42" t="s">
        <v>2015</v>
      </c>
      <c r="AD64" s="42" t="s">
        <v>3187</v>
      </c>
      <c r="AE64" s="42" t="s">
        <v>3188</v>
      </c>
      <c r="AF64" s="42"/>
      <c r="AI64" s="63" t="s">
        <v>2686</v>
      </c>
      <c r="AK64" s="67"/>
      <c r="AL64" s="59"/>
      <c r="AM64" s="98"/>
      <c r="AN64" s="133" t="s">
        <v>2712</v>
      </c>
      <c r="AO64" s="7"/>
      <c r="AP64" s="66" t="str">
        <f>AJ31</f>
        <v/>
      </c>
      <c r="AQ64" s="7"/>
      <c r="AR64" s="7"/>
      <c r="AS64" s="7"/>
      <c r="AT64" s="7"/>
      <c r="AU64" s="7"/>
      <c r="AV64" s="7"/>
      <c r="AW64" s="7"/>
      <c r="AX64" s="7"/>
      <c r="AY64" s="7"/>
      <c r="AZ64" s="7"/>
      <c r="BA64" s="7"/>
      <c r="BB64" s="7"/>
      <c r="BC64" s="106"/>
      <c r="BD64" s="98"/>
      <c r="BE64" s="85"/>
      <c r="BG64" s="1" t="s">
        <v>2737</v>
      </c>
      <c r="BH64" s="1">
        <f>IF(BH55&gt;0,0,1)</f>
        <v>0</v>
      </c>
      <c r="BK64" s="1" t="s">
        <v>2737</v>
      </c>
      <c r="BL64" s="1">
        <f>IF(BL55&gt;0,0,1)</f>
        <v>0</v>
      </c>
      <c r="BM64" s="266"/>
      <c r="BN64" s="63" t="s">
        <v>4084</v>
      </c>
      <c r="BO64" s="520">
        <v>1</v>
      </c>
      <c r="BT64" s="632" t="s">
        <v>4082</v>
      </c>
      <c r="BU64" s="633">
        <v>2</v>
      </c>
      <c r="BV64" s="266"/>
      <c r="BW64" s="272"/>
      <c r="BX64" s="276" t="s">
        <v>2772</v>
      </c>
      <c r="BY64" s="39"/>
      <c r="BZ64" s="39"/>
      <c r="CA64" s="39"/>
      <c r="CB64" s="39">
        <v>40</v>
      </c>
      <c r="CC64" s="39">
        <f t="shared" ca="1" si="4"/>
        <v>18.626840447678418</v>
      </c>
      <c r="CD64" s="39">
        <f t="shared" ca="1" si="5"/>
        <v>0</v>
      </c>
      <c r="CE64" s="39"/>
      <c r="CF64" s="39">
        <v>40</v>
      </c>
      <c r="CG64" s="39">
        <f t="shared" ca="1" si="6"/>
        <v>37.610426860705104</v>
      </c>
      <c r="CH64" s="39">
        <f t="shared" ca="1" si="7"/>
        <v>0</v>
      </c>
      <c r="CI64" s="272"/>
      <c r="CJ64" s="276" t="s">
        <v>2772</v>
      </c>
      <c r="CK64" s="39"/>
      <c r="CL64" s="39"/>
      <c r="CM64" s="39"/>
      <c r="CN64" s="39">
        <v>40</v>
      </c>
      <c r="CO64" s="39">
        <f t="shared" ca="1" si="8"/>
        <v>38.801603480624856</v>
      </c>
      <c r="CP64" s="39">
        <f t="shared" ca="1" si="9"/>
        <v>0</v>
      </c>
      <c r="CQ64" s="39"/>
      <c r="CR64" s="39">
        <v>40</v>
      </c>
      <c r="CS64" s="39">
        <f t="shared" ca="1" si="10"/>
        <v>-1</v>
      </c>
      <c r="CT64" s="39">
        <f t="shared" ca="1" si="11"/>
        <v>10</v>
      </c>
      <c r="CU64" s="285"/>
      <c r="CX64" s="54"/>
    </row>
    <row r="65" spans="1:102" ht="16.5">
      <c r="A65" s="335">
        <v>58</v>
      </c>
      <c r="B65" s="39" t="str">
        <f t="shared" si="0"/>
        <v>α lyr</v>
      </c>
      <c r="C65" s="39" t="str">
        <f t="shared" si="1"/>
        <v>μ 57</v>
      </c>
      <c r="F65" s="25" t="s">
        <v>1858</v>
      </c>
      <c r="G65" s="22">
        <v>17</v>
      </c>
      <c r="H65" s="22">
        <v>32</v>
      </c>
      <c r="I65" s="22">
        <v>13</v>
      </c>
      <c r="J65" s="22">
        <v>86</v>
      </c>
      <c r="K65" s="22">
        <v>35</v>
      </c>
      <c r="L65" s="22">
        <v>11</v>
      </c>
      <c r="M65" s="22" t="s">
        <v>130</v>
      </c>
      <c r="N65" s="22" t="s">
        <v>131</v>
      </c>
      <c r="R65" s="42" t="s">
        <v>2877</v>
      </c>
      <c r="S65" s="42" t="s">
        <v>2878</v>
      </c>
      <c r="T65" s="1" t="str">
        <f t="shared" si="2"/>
        <v>α</v>
      </c>
      <c r="U65" s="1" t="str">
        <f t="shared" si="3"/>
        <v>m</v>
      </c>
      <c r="V65" s="59"/>
      <c r="X65" s="42" t="s">
        <v>3189</v>
      </c>
      <c r="Y65" s="42" t="s">
        <v>262</v>
      </c>
      <c r="AA65" s="42" t="s">
        <v>1554</v>
      </c>
      <c r="AB65" s="42" t="s">
        <v>3032</v>
      </c>
      <c r="AC65" s="42" t="s">
        <v>2568</v>
      </c>
      <c r="AD65" s="42" t="s">
        <v>3190</v>
      </c>
      <c r="AE65" s="42" t="s">
        <v>3191</v>
      </c>
      <c r="AF65" s="42"/>
      <c r="AJ65" s="334" t="str">
        <f>B1216</f>
        <v/>
      </c>
      <c r="AK65" s="67"/>
      <c r="AL65" s="59"/>
      <c r="AM65" s="98"/>
      <c r="AN65" s="133" t="s">
        <v>2713</v>
      </c>
      <c r="AO65" s="7"/>
      <c r="AP65" s="66" t="str">
        <f>AJ30</f>
        <v/>
      </c>
      <c r="AQ65" s="7"/>
      <c r="AR65" s="7"/>
      <c r="AS65" s="7"/>
      <c r="AT65" s="7"/>
      <c r="AU65" s="7"/>
      <c r="AV65" s="7"/>
      <c r="AW65" s="7"/>
      <c r="AX65" s="103" t="s">
        <v>2728</v>
      </c>
      <c r="AY65" s="7"/>
      <c r="AZ65" s="7"/>
      <c r="BA65" s="7"/>
      <c r="BB65" s="7"/>
      <c r="BC65" s="106"/>
      <c r="BD65" s="98"/>
      <c r="BE65" s="85"/>
      <c r="BH65" s="1">
        <f>IF(BH57&gt;0,0,1)</f>
        <v>0</v>
      </c>
      <c r="BL65" s="1">
        <f>IF(BL57&gt;0,0,1)</f>
        <v>0</v>
      </c>
      <c r="BM65" s="266"/>
      <c r="BN65" s="175" t="s">
        <v>4086</v>
      </c>
      <c r="BO65" s="634">
        <f>BO51</f>
        <v>-74.678618702818042</v>
      </c>
      <c r="BT65" s="191" t="s">
        <v>4083</v>
      </c>
      <c r="BU65" s="91">
        <f ca="1">12-BU45</f>
        <v>17.373159552321582</v>
      </c>
      <c r="BV65" s="266"/>
      <c r="BW65" s="272"/>
      <c r="BX65" s="277">
        <f ca="1">BO9</f>
        <v>18.626840447678418</v>
      </c>
      <c r="BY65" s="39"/>
      <c r="BZ65" s="39"/>
      <c r="CA65" s="39"/>
      <c r="CB65" s="39">
        <v>30</v>
      </c>
      <c r="CC65" s="39">
        <f t="shared" ca="1" si="4"/>
        <v>18.626840447678418</v>
      </c>
      <c r="CD65" s="39">
        <f t="shared" ca="1" si="5"/>
        <v>0</v>
      </c>
      <c r="CE65" s="39"/>
      <c r="CF65" s="39">
        <v>30</v>
      </c>
      <c r="CG65" s="39">
        <f t="shared" ca="1" si="6"/>
        <v>-1</v>
      </c>
      <c r="CH65" s="39">
        <f t="shared" ca="1" si="7"/>
        <v>10</v>
      </c>
      <c r="CI65" s="272"/>
      <c r="CJ65" s="277">
        <f ca="1">BO10</f>
        <v>38.801603480624856</v>
      </c>
      <c r="CK65" s="39"/>
      <c r="CL65" s="39"/>
      <c r="CM65" s="39"/>
      <c r="CN65" s="39">
        <v>30</v>
      </c>
      <c r="CO65" s="39">
        <f t="shared" ca="1" si="8"/>
        <v>-1</v>
      </c>
      <c r="CP65" s="39">
        <f t="shared" ca="1" si="9"/>
        <v>10</v>
      </c>
      <c r="CQ65" s="39"/>
      <c r="CR65" s="39">
        <v>30</v>
      </c>
      <c r="CS65" s="39">
        <f t="shared" ca="1" si="10"/>
        <v>-1</v>
      </c>
      <c r="CT65" s="39">
        <f t="shared" ca="1" si="11"/>
        <v>10</v>
      </c>
      <c r="CU65" s="285"/>
      <c r="CX65" s="54"/>
    </row>
    <row r="66" spans="1:102" ht="18.75">
      <c r="A66" s="335">
        <v>59</v>
      </c>
      <c r="B66" s="39" t="str">
        <f t="shared" si="0"/>
        <v>α lyr</v>
      </c>
      <c r="C66" s="39" t="str">
        <f t="shared" si="1"/>
        <v>μ 57</v>
      </c>
      <c r="F66" s="25" t="s">
        <v>1859</v>
      </c>
      <c r="G66" s="22">
        <v>16</v>
      </c>
      <c r="H66" s="22">
        <v>45</v>
      </c>
      <c r="I66" s="22">
        <v>58.2</v>
      </c>
      <c r="J66" s="22">
        <v>82</v>
      </c>
      <c r="K66" s="22">
        <v>2</v>
      </c>
      <c r="L66" s="22">
        <v>14</v>
      </c>
      <c r="M66" s="22" t="s">
        <v>132</v>
      </c>
      <c r="N66" s="22" t="s">
        <v>133</v>
      </c>
      <c r="R66" s="42" t="s">
        <v>2879</v>
      </c>
      <c r="S66" s="42" t="s">
        <v>2878</v>
      </c>
      <c r="T66" s="1" t="str">
        <f t="shared" si="2"/>
        <v>α</v>
      </c>
      <c r="U66" s="1" t="str">
        <f t="shared" si="3"/>
        <v>m</v>
      </c>
      <c r="V66" s="59"/>
      <c r="X66" s="42" t="s">
        <v>3192</v>
      </c>
      <c r="Y66" s="42" t="s">
        <v>262</v>
      </c>
      <c r="AA66" s="42" t="s">
        <v>1560</v>
      </c>
      <c r="AB66" s="42" t="s">
        <v>3009</v>
      </c>
      <c r="AC66" s="42" t="s">
        <v>2571</v>
      </c>
      <c r="AD66" s="42" t="s">
        <v>3193</v>
      </c>
      <c r="AE66" s="42" t="s">
        <v>3194</v>
      </c>
      <c r="AF66" s="42"/>
      <c r="AJ66" s="60" t="str">
        <f>LOOKUP(AJ55,(A5:A1209),(M5:M1209))</f>
        <v xml:space="preserve">Μ57 Πλανητικό Νεφέλωμα Ευρυδίκη </v>
      </c>
      <c r="AK66" s="67"/>
      <c r="AL66" s="59"/>
      <c r="AM66" s="98"/>
      <c r="AN66" s="17"/>
      <c r="AO66" s="250" t="str">
        <f>Φύλλο2!AH60</f>
        <v>Βόρειος στέφανος</v>
      </c>
      <c r="AP66" s="243" t="str">
        <f>AJ21</f>
        <v>CrB</v>
      </c>
      <c r="AQ66" s="244"/>
      <c r="AR66" s="245" t="str">
        <f>AJ22</f>
        <v>Βόρειος Στέφανος</v>
      </c>
      <c r="AS66" s="244"/>
      <c r="AT66" s="244"/>
      <c r="AU66" s="244"/>
      <c r="AV66" s="246" t="str">
        <f>AJ25</f>
        <v>Corona Borealis</v>
      </c>
      <c r="AW66" s="244"/>
      <c r="AX66" s="247" t="str">
        <f>AJ26</f>
        <v>(7)α</v>
      </c>
      <c r="AY66" s="244"/>
      <c r="AZ66" s="244"/>
      <c r="BA66" s="244"/>
      <c r="BB66" s="244"/>
      <c r="BC66" s="248"/>
      <c r="BD66" s="98"/>
      <c r="BE66" s="85"/>
      <c r="BH66" s="1">
        <f>IF(BH59&gt;0,0,1)</f>
        <v>0</v>
      </c>
      <c r="BL66" s="1">
        <f>IF(BL59&gt;0,0,1)</f>
        <v>0</v>
      </c>
      <c r="BM66" s="266"/>
      <c r="BN66" s="43" t="s">
        <v>4088</v>
      </c>
      <c r="BO66" s="635">
        <f>360+BO65</f>
        <v>285.32138129718197</v>
      </c>
      <c r="BV66" s="266"/>
      <c r="BW66" s="272"/>
      <c r="BX66" s="278" t="s">
        <v>2672</v>
      </c>
      <c r="BY66" s="39" t="s">
        <v>4110</v>
      </c>
      <c r="BZ66" s="39"/>
      <c r="CA66" s="39"/>
      <c r="CB66" s="39">
        <v>20</v>
      </c>
      <c r="CC66" s="39">
        <f t="shared" ca="1" si="4"/>
        <v>18.626840447678418</v>
      </c>
      <c r="CD66" s="39">
        <f t="shared" ca="1" si="5"/>
        <v>0</v>
      </c>
      <c r="CE66" s="39"/>
      <c r="CF66" s="39">
        <v>20</v>
      </c>
      <c r="CG66" s="39">
        <f t="shared" ca="1" si="6"/>
        <v>-1</v>
      </c>
      <c r="CH66" s="39">
        <f t="shared" ca="1" si="7"/>
        <v>10</v>
      </c>
      <c r="CI66" s="272"/>
      <c r="CJ66" s="278" t="s">
        <v>2672</v>
      </c>
      <c r="CK66" s="39"/>
      <c r="CL66" s="39"/>
      <c r="CM66" s="39"/>
      <c r="CN66" s="39">
        <v>20</v>
      </c>
      <c r="CO66" s="39">
        <f t="shared" ca="1" si="8"/>
        <v>-1</v>
      </c>
      <c r="CP66" s="39">
        <f t="shared" ca="1" si="9"/>
        <v>10</v>
      </c>
      <c r="CQ66" s="39"/>
      <c r="CR66" s="39">
        <v>20</v>
      </c>
      <c r="CS66" s="39">
        <f t="shared" ca="1" si="10"/>
        <v>-1</v>
      </c>
      <c r="CT66" s="39">
        <f t="shared" ca="1" si="11"/>
        <v>10</v>
      </c>
      <c r="CU66" s="285"/>
      <c r="CX66" s="54"/>
    </row>
    <row r="67" spans="1:102">
      <c r="A67" s="335">
        <v>60</v>
      </c>
      <c r="B67" s="39" t="str">
        <f t="shared" si="0"/>
        <v>α lyr</v>
      </c>
      <c r="C67" s="39" t="str">
        <f t="shared" si="1"/>
        <v>μ 57</v>
      </c>
      <c r="F67" s="25" t="s">
        <v>1860</v>
      </c>
      <c r="G67" s="22">
        <v>15</v>
      </c>
      <c r="H67" s="22">
        <v>14</v>
      </c>
      <c r="I67" s="22">
        <v>3.5</v>
      </c>
      <c r="J67" s="22">
        <v>77</v>
      </c>
      <c r="K67" s="22">
        <v>47</v>
      </c>
      <c r="L67" s="22">
        <v>40</v>
      </c>
      <c r="M67" s="22" t="s">
        <v>134</v>
      </c>
      <c r="N67" s="22" t="s">
        <v>135</v>
      </c>
      <c r="R67" s="42" t="s">
        <v>2880</v>
      </c>
      <c r="S67" s="42" t="s">
        <v>2881</v>
      </c>
      <c r="T67" s="1" t="str">
        <f t="shared" si="2"/>
        <v>α</v>
      </c>
      <c r="U67" s="1" t="str">
        <f t="shared" si="3"/>
        <v>m</v>
      </c>
      <c r="V67" s="59"/>
      <c r="X67" s="42" t="s">
        <v>2681</v>
      </c>
      <c r="Y67" s="42" t="s">
        <v>262</v>
      </c>
      <c r="AA67" s="42" t="s">
        <v>3098</v>
      </c>
      <c r="AB67" s="42" t="s">
        <v>3094</v>
      </c>
      <c r="AC67" s="42" t="s">
        <v>3195</v>
      </c>
      <c r="AD67" s="42" t="s">
        <v>3102</v>
      </c>
      <c r="AE67" s="42" t="s">
        <v>3196</v>
      </c>
      <c r="AF67" s="42"/>
      <c r="AK67" s="67"/>
      <c r="AL67" s="59"/>
      <c r="AM67" s="98"/>
      <c r="AN67" s="17"/>
      <c r="AO67" s="7"/>
      <c r="AP67" s="7"/>
      <c r="AQ67" s="7"/>
      <c r="AR67" s="7"/>
      <c r="AS67" s="7"/>
      <c r="AT67" s="7"/>
      <c r="AU67" s="7"/>
      <c r="AV67" s="7"/>
      <c r="AW67" s="7"/>
      <c r="AX67" s="7"/>
      <c r="AY67" s="7"/>
      <c r="AZ67" s="7"/>
      <c r="BA67" s="7"/>
      <c r="BB67" s="7"/>
      <c r="BC67" s="106"/>
      <c r="BD67" s="98"/>
      <c r="BE67" s="85"/>
      <c r="BG67" s="1" t="s">
        <v>2736</v>
      </c>
      <c r="BH67" s="87">
        <f>BH64+BH65+BH66</f>
        <v>0</v>
      </c>
      <c r="BK67" s="1" t="s">
        <v>2736</v>
      </c>
      <c r="BL67" s="87">
        <f>BL64+BL65+BL66</f>
        <v>0</v>
      </c>
      <c r="BM67" s="266"/>
      <c r="BN67" s="191" t="s">
        <v>4089</v>
      </c>
      <c r="BO67" s="623">
        <f>IF(BO66&gt;360,BO65,BO66)</f>
        <v>285.32138129718197</v>
      </c>
      <c r="BT67" s="632" t="s">
        <v>4085</v>
      </c>
      <c r="BU67" s="633">
        <v>3</v>
      </c>
      <c r="BV67" s="266"/>
      <c r="BW67" s="272"/>
      <c r="BX67" s="73">
        <f ca="1">IF(BZ62=1,CH90,CH94)</f>
        <v>18</v>
      </c>
      <c r="BY67" s="1" t="s">
        <v>4109</v>
      </c>
      <c r="BZ67" s="646">
        <f>BF33</f>
        <v>57.399250000000002</v>
      </c>
      <c r="CA67" s="39"/>
      <c r="CB67" s="39">
        <v>10</v>
      </c>
      <c r="CC67" s="39">
        <f t="shared" ca="1" si="4"/>
        <v>-1</v>
      </c>
      <c r="CD67" s="39">
        <f t="shared" ca="1" si="5"/>
        <v>10</v>
      </c>
      <c r="CE67" s="39"/>
      <c r="CF67" s="39">
        <v>10</v>
      </c>
      <c r="CG67" s="39">
        <f t="shared" ca="1" si="6"/>
        <v>-1</v>
      </c>
      <c r="CH67" s="39">
        <f t="shared" ca="1" si="7"/>
        <v>10</v>
      </c>
      <c r="CI67" s="272"/>
      <c r="CJ67" s="73">
        <f ca="1">IF(CL62=1,CT90,CT94)</f>
        <v>38</v>
      </c>
      <c r="CK67" s="39"/>
      <c r="CL67" s="39"/>
      <c r="CM67" s="39"/>
      <c r="CN67" s="39">
        <v>10</v>
      </c>
      <c r="CO67" s="39">
        <f t="shared" ca="1" si="8"/>
        <v>-1</v>
      </c>
      <c r="CP67" s="39">
        <f t="shared" ca="1" si="9"/>
        <v>10</v>
      </c>
      <c r="CQ67" s="39"/>
      <c r="CR67" s="39">
        <v>10</v>
      </c>
      <c r="CS67" s="39">
        <f t="shared" ca="1" si="10"/>
        <v>-1</v>
      </c>
      <c r="CT67" s="39">
        <f t="shared" ca="1" si="11"/>
        <v>10</v>
      </c>
      <c r="CU67" s="285"/>
      <c r="CX67" s="54"/>
    </row>
    <row r="68" spans="1:102">
      <c r="A68" s="335">
        <v>61</v>
      </c>
      <c r="B68" s="39" t="str">
        <f t="shared" si="0"/>
        <v>α lyr</v>
      </c>
      <c r="C68" s="39" t="str">
        <f t="shared" si="1"/>
        <v>μ 57</v>
      </c>
      <c r="F68" s="25" t="s">
        <v>1861</v>
      </c>
      <c r="G68" s="22">
        <v>16</v>
      </c>
      <c r="H68" s="22">
        <v>17</v>
      </c>
      <c r="I68" s="22">
        <v>30.3</v>
      </c>
      <c r="J68" s="22">
        <v>75</v>
      </c>
      <c r="K68" s="22">
        <v>45</v>
      </c>
      <c r="L68" s="22">
        <v>19</v>
      </c>
      <c r="M68" s="22" t="s">
        <v>136</v>
      </c>
      <c r="N68" s="22" t="s">
        <v>137</v>
      </c>
      <c r="R68" s="42" t="s">
        <v>2882</v>
      </c>
      <c r="S68" s="42" t="s">
        <v>2881</v>
      </c>
      <c r="T68" s="1" t="str">
        <f t="shared" si="2"/>
        <v>α</v>
      </c>
      <c r="U68" s="1" t="str">
        <f t="shared" si="3"/>
        <v>m</v>
      </c>
      <c r="V68" s="59"/>
      <c r="X68" s="42" t="s">
        <v>3197</v>
      </c>
      <c r="Y68" s="42" t="s">
        <v>262</v>
      </c>
      <c r="AA68" s="42" t="s">
        <v>1642</v>
      </c>
      <c r="AB68" s="42" t="s">
        <v>3075</v>
      </c>
      <c r="AC68" s="42" t="s">
        <v>2600</v>
      </c>
      <c r="AD68" s="42" t="s">
        <v>3198</v>
      </c>
      <c r="AE68" s="42" t="s">
        <v>3199</v>
      </c>
      <c r="AF68" s="42"/>
      <c r="AJ68" s="334" t="str">
        <f>B1217</f>
        <v/>
      </c>
      <c r="AK68" s="67"/>
      <c r="AL68" s="59"/>
      <c r="AU68" s="82"/>
      <c r="BE68" s="85"/>
      <c r="BG68" s="1" t="s">
        <v>2738</v>
      </c>
      <c r="BH68" s="1">
        <f>IF(BH63=3,1,0)</f>
        <v>1</v>
      </c>
      <c r="BK68" s="1" t="s">
        <v>2738</v>
      </c>
      <c r="BL68" s="1">
        <f>IF(BL63=3,1,0)</f>
        <v>1</v>
      </c>
      <c r="BM68" s="266"/>
      <c r="BT68" s="191" t="s">
        <v>4087</v>
      </c>
      <c r="BU68" s="91">
        <f ca="1">(BU45*-1)+12</f>
        <v>17.373159552321582</v>
      </c>
      <c r="BV68" s="266"/>
      <c r="BW68" s="272"/>
      <c r="BX68" s="73">
        <f ca="1">IF(BZ62=1,CH91,CH95)</f>
        <v>37</v>
      </c>
      <c r="BY68" s="39"/>
      <c r="BZ68" s="39"/>
      <c r="CA68" s="39"/>
      <c r="CB68" s="39"/>
      <c r="CC68" s="39"/>
      <c r="CD68" s="279">
        <f ca="1">SUM(CD59:CD67)</f>
        <v>10</v>
      </c>
      <c r="CE68" s="39"/>
      <c r="CF68" s="39"/>
      <c r="CG68" s="39"/>
      <c r="CH68" s="279">
        <f ca="1">SUM(CH59:CH67)</f>
        <v>30</v>
      </c>
      <c r="CI68" s="272"/>
      <c r="CJ68" s="73">
        <f ca="1">IF(CL62=1,CT91,CT95)</f>
        <v>48</v>
      </c>
      <c r="CK68" s="39"/>
      <c r="CL68" s="39"/>
      <c r="CM68" s="39"/>
      <c r="CN68" s="39"/>
      <c r="CO68" s="39"/>
      <c r="CP68" s="279">
        <f ca="1">SUM(CP59:CP67)</f>
        <v>30</v>
      </c>
      <c r="CQ68" s="39"/>
      <c r="CR68" s="39"/>
      <c r="CS68" s="39"/>
      <c r="CT68" s="279">
        <f ca="1">SUM(CT59:CT67)</f>
        <v>40</v>
      </c>
      <c r="CU68" s="285"/>
      <c r="CX68" s="54"/>
    </row>
    <row r="69" spans="1:102">
      <c r="A69" s="335">
        <v>62</v>
      </c>
      <c r="B69" s="39" t="str">
        <f t="shared" si="0"/>
        <v>α lyr</v>
      </c>
      <c r="C69" s="39" t="str">
        <f t="shared" si="1"/>
        <v>μ 57</v>
      </c>
      <c r="F69" s="27" t="s">
        <v>1862</v>
      </c>
      <c r="G69" s="26"/>
      <c r="H69" s="26"/>
      <c r="I69" s="26"/>
      <c r="J69" s="26"/>
      <c r="K69" s="26"/>
      <c r="L69" s="26"/>
      <c r="M69" s="26" t="s">
        <v>138</v>
      </c>
      <c r="N69" s="26" t="s">
        <v>139</v>
      </c>
      <c r="R69" s="42" t="s">
        <v>2883</v>
      </c>
      <c r="S69" s="42" t="s">
        <v>2881</v>
      </c>
      <c r="T69" s="1" t="str">
        <f t="shared" si="2"/>
        <v>α</v>
      </c>
      <c r="U69" s="1" t="str">
        <f t="shared" si="3"/>
        <v>m</v>
      </c>
      <c r="V69" s="59"/>
      <c r="X69" s="42" t="s">
        <v>3100</v>
      </c>
      <c r="Y69" s="42" t="s">
        <v>262</v>
      </c>
      <c r="AA69" s="42" t="s">
        <v>1568</v>
      </c>
      <c r="AB69" s="42" t="s">
        <v>3200</v>
      </c>
      <c r="AC69" s="42" t="s">
        <v>2575</v>
      </c>
      <c r="AD69" s="42" t="s">
        <v>3201</v>
      </c>
      <c r="AE69" s="42" t="s">
        <v>3202</v>
      </c>
      <c r="AF69" s="42"/>
      <c r="AJ69" s="60" t="str">
        <f ca="1">LOOKUP(AJ55,(A5:A1029),(N5:N1209))</f>
        <v>Δακτυλιοειδές. 2.300 LY</v>
      </c>
      <c r="AK69" s="67"/>
      <c r="AL69" s="59"/>
      <c r="AU69" s="82"/>
      <c r="BE69" s="85"/>
      <c r="BG69" s="1" t="s">
        <v>2739</v>
      </c>
      <c r="BH69" s="1">
        <f>IF(BH67=3,1,0)</f>
        <v>0</v>
      </c>
      <c r="BK69" s="1" t="s">
        <v>2739</v>
      </c>
      <c r="BL69" s="1">
        <f>IF(BL67=3,1,0)</f>
        <v>0</v>
      </c>
      <c r="BM69" s="266"/>
      <c r="BN69" s="63" t="s">
        <v>4092</v>
      </c>
      <c r="BO69" s="520">
        <v>2</v>
      </c>
      <c r="BV69" s="266"/>
      <c r="BW69" s="272"/>
      <c r="BX69" s="73">
        <f ca="1">IF(BZ62=1,CH92,CH96)</f>
        <v>36.625611642306239</v>
      </c>
      <c r="BZ69" s="39"/>
      <c r="CA69" s="39"/>
      <c r="CB69" s="39"/>
      <c r="CC69" s="39"/>
      <c r="CD69" s="280">
        <f ca="1">CC58-CD68</f>
        <v>8.6268404476784184</v>
      </c>
      <c r="CE69" s="39"/>
      <c r="CF69" s="39"/>
      <c r="CG69" s="39"/>
      <c r="CH69" s="280">
        <f ca="1">CG58-CH68</f>
        <v>7.610426860705104</v>
      </c>
      <c r="CI69" s="272"/>
      <c r="CJ69" s="73">
        <f ca="1">IF(CL62=1,CT92,CT96)</f>
        <v>5.772530249479928</v>
      </c>
      <c r="CK69" s="39"/>
      <c r="CL69" s="39"/>
      <c r="CM69" s="39"/>
      <c r="CN69" s="39"/>
      <c r="CO69" s="39"/>
      <c r="CP69" s="280">
        <f ca="1">CO58-CP68</f>
        <v>8.8016034806248555</v>
      </c>
      <c r="CQ69" s="39"/>
      <c r="CR69" s="39"/>
      <c r="CS69" s="39"/>
      <c r="CT69" s="280">
        <f ca="1">CS58-CT68</f>
        <v>8.0962088374913321</v>
      </c>
      <c r="CU69" s="285"/>
      <c r="CX69" s="54"/>
    </row>
    <row r="70" spans="1:102" ht="16.5">
      <c r="A70" s="335">
        <v>63</v>
      </c>
      <c r="B70" s="39" t="str">
        <f t="shared" ref="B70:B133" si="12">IF(B69=F70,A70,B69)</f>
        <v>α lyr</v>
      </c>
      <c r="C70" s="39" t="str">
        <f t="shared" ref="C70:C133" si="13" xml:space="preserve"> IF(C69=F70,A70,C69)</f>
        <v>μ 57</v>
      </c>
      <c r="F70" s="25" t="s">
        <v>1863</v>
      </c>
      <c r="G70" s="22">
        <v>1</v>
      </c>
      <c r="H70" s="22">
        <v>37</v>
      </c>
      <c r="I70" s="22">
        <v>59.6</v>
      </c>
      <c r="J70" s="22">
        <v>48</v>
      </c>
      <c r="K70" s="22">
        <v>37</v>
      </c>
      <c r="L70" s="22">
        <v>42</v>
      </c>
      <c r="M70" s="22" t="s">
        <v>140</v>
      </c>
      <c r="N70" s="22" t="s">
        <v>141</v>
      </c>
      <c r="R70" s="42" t="s">
        <v>2884</v>
      </c>
      <c r="S70" s="42" t="s">
        <v>2885</v>
      </c>
      <c r="T70" s="1" t="str">
        <f t="shared" si="2"/>
        <v>α</v>
      </c>
      <c r="U70" s="1" t="str">
        <f t="shared" si="3"/>
        <v>m</v>
      </c>
      <c r="V70" s="59"/>
      <c r="X70" s="42" t="s">
        <v>3203</v>
      </c>
      <c r="Y70" s="42" t="s">
        <v>312</v>
      </c>
      <c r="AA70" s="42" t="s">
        <v>222</v>
      </c>
      <c r="AB70" s="42" t="s">
        <v>3204</v>
      </c>
      <c r="AC70" s="42" t="s">
        <v>1895</v>
      </c>
      <c r="AD70" s="42" t="s">
        <v>3147</v>
      </c>
      <c r="AE70" s="42" t="s">
        <v>3205</v>
      </c>
      <c r="AF70" s="42"/>
      <c r="AI70" s="63" t="s">
        <v>2694</v>
      </c>
      <c r="AK70" s="67"/>
      <c r="AL70" s="59"/>
      <c r="AU70" s="82"/>
      <c r="BE70" s="85"/>
      <c r="BG70" s="1" t="s">
        <v>2740</v>
      </c>
      <c r="BH70" s="59">
        <f>BH68+BH69</f>
        <v>1</v>
      </c>
      <c r="BK70" s="1" t="s">
        <v>2740</v>
      </c>
      <c r="BL70" s="59">
        <f>BL68+BL69</f>
        <v>1</v>
      </c>
      <c r="BM70" s="266"/>
      <c r="BN70" s="637" t="s">
        <v>4093</v>
      </c>
      <c r="BO70" s="623">
        <f>180-BO51</f>
        <v>254.67861870281803</v>
      </c>
      <c r="BT70" s="632" t="s">
        <v>4090</v>
      </c>
      <c r="BU70" s="633">
        <v>4</v>
      </c>
      <c r="BV70" s="266"/>
      <c r="BW70" s="272"/>
      <c r="BX70" s="39"/>
      <c r="BY70" s="39"/>
      <c r="BZ70" s="86"/>
      <c r="CA70" s="39"/>
      <c r="CB70" s="39"/>
      <c r="CC70" s="68">
        <f ca="1">CD69</f>
        <v>8.6268404476784184</v>
      </c>
      <c r="CD70" s="39"/>
      <c r="CE70" s="39"/>
      <c r="CF70" s="39"/>
      <c r="CG70" s="68">
        <f ca="1">CH69</f>
        <v>7.610426860705104</v>
      </c>
      <c r="CH70" s="39"/>
      <c r="CI70" s="272"/>
      <c r="CJ70" s="39"/>
      <c r="CK70" s="39"/>
      <c r="CL70" s="39"/>
      <c r="CM70" s="39"/>
      <c r="CN70" s="39"/>
      <c r="CO70" s="68">
        <f ca="1">CP69</f>
        <v>8.8016034806248555</v>
      </c>
      <c r="CP70" s="39"/>
      <c r="CQ70" s="39"/>
      <c r="CR70" s="39"/>
      <c r="CS70" s="68">
        <f ca="1">CT69</f>
        <v>8.0962088374913321</v>
      </c>
      <c r="CT70" s="39"/>
      <c r="CU70" s="285"/>
      <c r="CX70" s="54"/>
    </row>
    <row r="71" spans="1:102">
      <c r="A71" s="335">
        <v>64</v>
      </c>
      <c r="B71" s="39" t="str">
        <f t="shared" si="12"/>
        <v>α lyr</v>
      </c>
      <c r="C71" s="39" t="str">
        <f t="shared" si="13"/>
        <v>μ 57</v>
      </c>
      <c r="F71" s="25" t="s">
        <v>1864</v>
      </c>
      <c r="G71" s="22">
        <v>0</v>
      </c>
      <c r="H71" s="22">
        <v>8</v>
      </c>
      <c r="I71" s="22">
        <v>23.3</v>
      </c>
      <c r="J71" s="22">
        <v>29</v>
      </c>
      <c r="K71" s="22">
        <v>5</v>
      </c>
      <c r="L71" s="22">
        <v>26</v>
      </c>
      <c r="M71" s="22" t="s">
        <v>142</v>
      </c>
      <c r="N71" s="22" t="s">
        <v>143</v>
      </c>
      <c r="R71" s="42" t="s">
        <v>2886</v>
      </c>
      <c r="S71" s="42" t="s">
        <v>2885</v>
      </c>
      <c r="T71" s="1" t="str">
        <f t="shared" si="2"/>
        <v>α</v>
      </c>
      <c r="U71" s="1" t="str">
        <f t="shared" si="3"/>
        <v>m</v>
      </c>
      <c r="V71" s="59"/>
      <c r="X71" s="42" t="s">
        <v>3206</v>
      </c>
      <c r="Y71" s="42" t="s">
        <v>312</v>
      </c>
      <c r="AA71" s="42" t="s">
        <v>173</v>
      </c>
      <c r="AB71" s="42" t="s">
        <v>3207</v>
      </c>
      <c r="AC71" s="42" t="s">
        <v>1879</v>
      </c>
      <c r="AD71" s="42" t="s">
        <v>3093</v>
      </c>
      <c r="AE71" s="42" t="s">
        <v>3208</v>
      </c>
      <c r="AF71" s="42"/>
      <c r="AJ71" s="92" t="str">
        <f>IF(AJ66=0,AJ65,AJ66)</f>
        <v xml:space="preserve">Μ57 Πλανητικό Νεφέλωμα Ευρυδίκη </v>
      </c>
      <c r="AK71" s="67"/>
      <c r="AL71" s="59"/>
      <c r="AU71" s="82"/>
      <c r="BE71" s="85"/>
      <c r="BG71" s="1" t="s">
        <v>2741</v>
      </c>
      <c r="BH71" s="1">
        <f>BH59/60</f>
        <v>0.58500000000000008</v>
      </c>
      <c r="BK71" s="1" t="s">
        <v>2741</v>
      </c>
      <c r="BL71" s="1">
        <f>BL59/60</f>
        <v>0.75</v>
      </c>
      <c r="BM71" s="266"/>
      <c r="BN71" s="39"/>
      <c r="BO71" s="62"/>
      <c r="BT71" s="43" t="s">
        <v>4091</v>
      </c>
      <c r="BU71" s="372">
        <f ca="1">24+BU45</f>
        <v>18.626840447678418</v>
      </c>
      <c r="BV71" s="266"/>
      <c r="BW71" s="272"/>
      <c r="BX71" s="643">
        <f ca="1">IF(BZ63=0,0,BX67)</f>
        <v>18</v>
      </c>
      <c r="BY71" s="39"/>
      <c r="BZ71" s="39"/>
      <c r="CA71" s="39"/>
      <c r="CB71" s="39">
        <v>9</v>
      </c>
      <c r="CC71" s="39">
        <f ca="1">IF(CB71&gt;CC70,CC70,-1)</f>
        <v>8.6268404476784184</v>
      </c>
      <c r="CD71" s="39">
        <f ca="1">IF(CC71=-1,1,0)</f>
        <v>0</v>
      </c>
      <c r="CE71" s="39"/>
      <c r="CF71" s="39">
        <v>9</v>
      </c>
      <c r="CG71" s="39">
        <f ca="1">IF(CF71&gt;CG70,CG70,-1)</f>
        <v>7.610426860705104</v>
      </c>
      <c r="CH71" s="39">
        <f ca="1">IF(CG71=-1,1,0)</f>
        <v>0</v>
      </c>
      <c r="CI71" s="272"/>
      <c r="CJ71" s="643">
        <f ca="1">IF(CL63=0,0,CJ67)</f>
        <v>38</v>
      </c>
      <c r="CK71" s="39"/>
      <c r="CL71" s="39"/>
      <c r="CM71" s="39"/>
      <c r="CN71" s="39">
        <v>9</v>
      </c>
      <c r="CO71" s="39">
        <f ca="1">IF(CN71&gt;CO70,CO70,-1)</f>
        <v>8.8016034806248555</v>
      </c>
      <c r="CP71" s="39">
        <f ca="1">IF(CO71=-1,1,0)</f>
        <v>0</v>
      </c>
      <c r="CQ71" s="39"/>
      <c r="CR71" s="39">
        <v>9</v>
      </c>
      <c r="CS71" s="39">
        <f ca="1">IF(CR71&gt;CS70,CS70,-1)</f>
        <v>8.0962088374913321</v>
      </c>
      <c r="CT71" s="39">
        <f ca="1">IF(CS71=-1,1,0)</f>
        <v>0</v>
      </c>
      <c r="CU71" s="285"/>
      <c r="CX71" s="54"/>
    </row>
    <row r="72" spans="1:102">
      <c r="A72" s="335">
        <v>65</v>
      </c>
      <c r="B72" s="39" t="str">
        <f t="shared" si="12"/>
        <v>α lyr</v>
      </c>
      <c r="C72" s="39" t="str">
        <f t="shared" si="13"/>
        <v>μ 57</v>
      </c>
      <c r="F72" s="25" t="s">
        <v>1865</v>
      </c>
      <c r="G72" s="22">
        <v>1</v>
      </c>
      <c r="H72" s="22">
        <v>9</v>
      </c>
      <c r="I72" s="22">
        <v>43.9</v>
      </c>
      <c r="J72" s="22">
        <v>35</v>
      </c>
      <c r="K72" s="22">
        <v>37</v>
      </c>
      <c r="L72" s="22">
        <v>14</v>
      </c>
      <c r="M72" s="22" t="s">
        <v>144</v>
      </c>
      <c r="N72" s="22" t="s">
        <v>145</v>
      </c>
      <c r="R72" s="42" t="s">
        <v>2887</v>
      </c>
      <c r="S72" s="42" t="s">
        <v>2885</v>
      </c>
      <c r="T72" s="1" t="str">
        <f t="shared" si="2"/>
        <v>α</v>
      </c>
      <c r="U72" s="1" t="str">
        <f t="shared" si="3"/>
        <v>m</v>
      </c>
      <c r="V72" s="59"/>
      <c r="X72" s="42" t="s">
        <v>3209</v>
      </c>
      <c r="Y72" s="42" t="s">
        <v>312</v>
      </c>
      <c r="AA72" s="42" t="s">
        <v>3210</v>
      </c>
      <c r="AB72" s="42" t="s">
        <v>3211</v>
      </c>
      <c r="AC72" s="42" t="s">
        <v>2489</v>
      </c>
      <c r="AD72" s="42" t="s">
        <v>3212</v>
      </c>
      <c r="AE72" s="42" t="s">
        <v>3213</v>
      </c>
      <c r="AF72" s="42"/>
      <c r="AJ72" s="92" t="str">
        <f ca="1">IF(AJ69=0,AJ68,AJ69)</f>
        <v>Δακτυλιοειδές. 2.300 LY</v>
      </c>
      <c r="AK72" s="67"/>
      <c r="AL72" s="59"/>
      <c r="AU72" s="82"/>
      <c r="BE72" s="85"/>
      <c r="BG72" s="1" t="s">
        <v>2742</v>
      </c>
      <c r="BH72" s="1">
        <f>(BH71+BH57)/60</f>
        <v>0.89308333333333334</v>
      </c>
      <c r="BK72" s="1" t="s">
        <v>2742</v>
      </c>
      <c r="BL72" s="1">
        <f>(BL71+BL57)/60</f>
        <v>2.9166666666666667E-2</v>
      </c>
      <c r="BM72" s="266"/>
      <c r="BN72" s="63" t="s">
        <v>4096</v>
      </c>
      <c r="BO72" s="520">
        <v>3</v>
      </c>
      <c r="BT72" s="43" t="s">
        <v>4064</v>
      </c>
      <c r="BU72" s="636">
        <f ca="1">BU45</f>
        <v>-5.3731595523215798</v>
      </c>
      <c r="BV72" s="266"/>
      <c r="BW72" s="272"/>
      <c r="BX72" s="643">
        <f ca="1">IF(BZ63=0,0,BX68)</f>
        <v>37</v>
      </c>
      <c r="BY72" s="39"/>
      <c r="BZ72" s="39"/>
      <c r="CA72" s="39"/>
      <c r="CB72" s="39">
        <v>8</v>
      </c>
      <c r="CC72" s="39">
        <f t="shared" ref="CC72:CC79" ca="1" si="14">IF(CB72&gt;CC71,CC71,-1)</f>
        <v>-1</v>
      </c>
      <c r="CD72" s="39">
        <f t="shared" ref="CD72:CD79" ca="1" si="15">IF(CC72=-1,1,0)</f>
        <v>1</v>
      </c>
      <c r="CE72" s="39"/>
      <c r="CF72" s="39">
        <v>8</v>
      </c>
      <c r="CG72" s="39">
        <f t="shared" ref="CG72:CG79" ca="1" si="16">IF(CF72&gt;CG71,CG71,-1)</f>
        <v>7.610426860705104</v>
      </c>
      <c r="CH72" s="39">
        <f t="shared" ref="CH72:CH79" ca="1" si="17">IF(CG72=-1,1,0)</f>
        <v>0</v>
      </c>
      <c r="CI72" s="272"/>
      <c r="CJ72" s="643">
        <f ca="1">IF(CL63=0,0,CJ68)</f>
        <v>48</v>
      </c>
      <c r="CK72" s="39"/>
      <c r="CL72" s="39"/>
      <c r="CM72" s="39"/>
      <c r="CN72" s="39">
        <v>8</v>
      </c>
      <c r="CO72" s="39">
        <f t="shared" ref="CO72:CO79" ca="1" si="18">IF(CN72&gt;CO71,CO71,-1)</f>
        <v>-1</v>
      </c>
      <c r="CP72" s="39">
        <f t="shared" ref="CP72:CP79" ca="1" si="19">IF(CO72=-1,1,0)</f>
        <v>1</v>
      </c>
      <c r="CQ72" s="39"/>
      <c r="CR72" s="39">
        <v>8</v>
      </c>
      <c r="CS72" s="39">
        <f t="shared" ref="CS72:CS79" ca="1" si="20">IF(CR72&gt;CS71,CS71,-1)</f>
        <v>-1</v>
      </c>
      <c r="CT72" s="39">
        <f t="shared" ref="CT72:CT79" ca="1" si="21">IF(CS72=-1,1,0)</f>
        <v>1</v>
      </c>
      <c r="CU72" s="285"/>
      <c r="CX72" s="54"/>
    </row>
    <row r="73" spans="1:102" ht="16.5">
      <c r="A73" s="335">
        <v>66</v>
      </c>
      <c r="B73" s="39" t="str">
        <f t="shared" si="12"/>
        <v>α lyr</v>
      </c>
      <c r="C73" s="39" t="str">
        <f t="shared" si="13"/>
        <v>μ 57</v>
      </c>
      <c r="F73" s="25" t="s">
        <v>1866</v>
      </c>
      <c r="G73" s="22">
        <v>2</v>
      </c>
      <c r="H73" s="22">
        <v>3</v>
      </c>
      <c r="I73" s="22">
        <v>54</v>
      </c>
      <c r="J73" s="22">
        <v>42</v>
      </c>
      <c r="K73" s="22">
        <v>19</v>
      </c>
      <c r="L73" s="22">
        <v>47</v>
      </c>
      <c r="M73" s="22" t="s">
        <v>146</v>
      </c>
      <c r="N73" s="22" t="s">
        <v>147</v>
      </c>
      <c r="R73" s="42" t="s">
        <v>2888</v>
      </c>
      <c r="S73" s="42" t="s">
        <v>2889</v>
      </c>
      <c r="T73" s="1" t="str">
        <f t="shared" si="2"/>
        <v>α</v>
      </c>
      <c r="U73" s="1" t="str">
        <f t="shared" si="3"/>
        <v>m</v>
      </c>
      <c r="V73" s="59"/>
      <c r="X73" s="42" t="s">
        <v>3214</v>
      </c>
      <c r="Y73" s="42" t="s">
        <v>312</v>
      </c>
      <c r="AA73" s="42" t="s">
        <v>312</v>
      </c>
      <c r="AB73" s="42" t="s">
        <v>3215</v>
      </c>
      <c r="AC73" s="42" t="s">
        <v>1942</v>
      </c>
      <c r="AD73" s="42" t="s">
        <v>3214</v>
      </c>
      <c r="AE73" s="42" t="s">
        <v>3216</v>
      </c>
      <c r="AF73" s="42"/>
      <c r="AJ73" s="86"/>
      <c r="AK73" s="67"/>
      <c r="AL73" s="59"/>
      <c r="AO73" s="1" t="s">
        <v>2668</v>
      </c>
      <c r="AU73" s="82"/>
      <c r="BE73" s="85"/>
      <c r="BF73" s="63" t="s">
        <v>2672</v>
      </c>
      <c r="BG73" s="1" t="s">
        <v>2743</v>
      </c>
      <c r="BH73" s="73">
        <f>BH72+BH55</f>
        <v>18.893083333333333</v>
      </c>
      <c r="BJ73" s="63" t="s">
        <v>2672</v>
      </c>
      <c r="BK73" s="1" t="s">
        <v>2743</v>
      </c>
      <c r="BL73" s="73">
        <f>BL72+BL55</f>
        <v>33.029166666666669</v>
      </c>
      <c r="BM73" s="266"/>
      <c r="BN73" s="637" t="s">
        <v>4093</v>
      </c>
      <c r="BO73" s="623">
        <f>BO70</f>
        <v>254.67861870281803</v>
      </c>
      <c r="BT73" s="43" t="s">
        <v>4094</v>
      </c>
      <c r="BU73" s="635">
        <f ca="1" xml:space="preserve"> IF(BU71&gt;0,BU72,BU71)</f>
        <v>-5.3731595523215798</v>
      </c>
      <c r="BV73" s="266"/>
      <c r="BW73" s="272"/>
      <c r="BX73" s="643">
        <f ca="1">IF(BZ63=0,0,BX69)</f>
        <v>36.625611642306239</v>
      </c>
      <c r="BY73" s="39"/>
      <c r="BZ73" s="39"/>
      <c r="CA73" s="39"/>
      <c r="CB73" s="39">
        <v>7</v>
      </c>
      <c r="CC73" s="39">
        <f t="shared" ca="1" si="14"/>
        <v>-1</v>
      </c>
      <c r="CD73" s="39">
        <f t="shared" ca="1" si="15"/>
        <v>1</v>
      </c>
      <c r="CE73" s="39"/>
      <c r="CF73" s="39">
        <v>7</v>
      </c>
      <c r="CG73" s="39">
        <f t="shared" ca="1" si="16"/>
        <v>-1</v>
      </c>
      <c r="CH73" s="39">
        <f t="shared" ca="1" si="17"/>
        <v>1</v>
      </c>
      <c r="CI73" s="272"/>
      <c r="CJ73" s="643">
        <f ca="1">IF(CL63=0,0,CJ69)</f>
        <v>5.772530249479928</v>
      </c>
      <c r="CK73" s="39"/>
      <c r="CL73" s="39"/>
      <c r="CM73" s="39"/>
      <c r="CN73" s="39">
        <v>7</v>
      </c>
      <c r="CO73" s="39">
        <f t="shared" ca="1" si="18"/>
        <v>-1</v>
      </c>
      <c r="CP73" s="39">
        <f t="shared" ca="1" si="19"/>
        <v>1</v>
      </c>
      <c r="CQ73" s="39"/>
      <c r="CR73" s="39">
        <v>7</v>
      </c>
      <c r="CS73" s="39">
        <f t="shared" ca="1" si="20"/>
        <v>-1</v>
      </c>
      <c r="CT73" s="39">
        <f t="shared" ca="1" si="21"/>
        <v>1</v>
      </c>
      <c r="CU73" s="285"/>
      <c r="CX73" s="54"/>
    </row>
    <row r="74" spans="1:102">
      <c r="A74" s="335">
        <v>67</v>
      </c>
      <c r="B74" s="39" t="str">
        <f t="shared" si="12"/>
        <v>α lyr</v>
      </c>
      <c r="C74" s="39" t="str">
        <f t="shared" si="13"/>
        <v>μ 57</v>
      </c>
      <c r="F74" s="25" t="s">
        <v>1867</v>
      </c>
      <c r="G74" s="22">
        <v>0</v>
      </c>
      <c r="H74" s="22">
        <v>39</v>
      </c>
      <c r="I74" s="22">
        <v>19.7</v>
      </c>
      <c r="J74" s="22">
        <v>30</v>
      </c>
      <c r="K74" s="22">
        <v>51</v>
      </c>
      <c r="L74" s="22">
        <v>40</v>
      </c>
      <c r="M74" s="22" t="s">
        <v>148</v>
      </c>
      <c r="N74" s="22" t="s">
        <v>149</v>
      </c>
      <c r="R74" s="42" t="s">
        <v>2890</v>
      </c>
      <c r="S74" s="42" t="s">
        <v>2889</v>
      </c>
      <c r="T74" s="1" t="str">
        <f t="shared" si="2"/>
        <v>α</v>
      </c>
      <c r="U74" s="1" t="str">
        <f t="shared" si="3"/>
        <v>m</v>
      </c>
      <c r="V74" s="59"/>
      <c r="X74" s="42" t="s">
        <v>3217</v>
      </c>
      <c r="Y74" s="42" t="s">
        <v>320</v>
      </c>
      <c r="AA74" s="42" t="s">
        <v>1630</v>
      </c>
      <c r="AB74" s="42" t="s">
        <v>3015</v>
      </c>
      <c r="AC74" s="42" t="s">
        <v>2594</v>
      </c>
      <c r="AD74" s="42" t="s">
        <v>3218</v>
      </c>
      <c r="AE74" s="42" t="s">
        <v>3219</v>
      </c>
      <c r="AF74" s="42"/>
      <c r="AJ74" s="1">
        <f>1201-B1209</f>
        <v>807</v>
      </c>
      <c r="AK74" s="67"/>
      <c r="AL74" s="59"/>
      <c r="AO74" s="1" t="s">
        <v>2840</v>
      </c>
      <c r="AU74" s="82"/>
      <c r="BE74" s="85"/>
      <c r="BF74" s="72">
        <f>IF(BH98=0,BH73,0)</f>
        <v>18.893083333333333</v>
      </c>
      <c r="BJ74" s="72">
        <f>IF(BH98=0,BL73,0)</f>
        <v>33.029166666666669</v>
      </c>
      <c r="BM74" s="266"/>
      <c r="BT74" s="191" t="s">
        <v>4095</v>
      </c>
      <c r="BU74" s="91">
        <f ca="1">IF(BU73&lt;0,BU71,BU73)</f>
        <v>18.626840447678418</v>
      </c>
      <c r="BV74" s="266"/>
      <c r="BW74" s="272"/>
      <c r="BX74" s="39" t="s">
        <v>2773</v>
      </c>
      <c r="BY74" s="39"/>
      <c r="BZ74" s="39"/>
      <c r="CA74" s="39"/>
      <c r="CB74" s="39">
        <v>6</v>
      </c>
      <c r="CC74" s="39">
        <f t="shared" ca="1" si="14"/>
        <v>-1</v>
      </c>
      <c r="CD74" s="39">
        <f t="shared" ca="1" si="15"/>
        <v>1</v>
      </c>
      <c r="CE74" s="39"/>
      <c r="CF74" s="39">
        <v>6</v>
      </c>
      <c r="CG74" s="39">
        <f t="shared" ca="1" si="16"/>
        <v>-1</v>
      </c>
      <c r="CH74" s="39">
        <f t="shared" ca="1" si="17"/>
        <v>1</v>
      </c>
      <c r="CI74" s="272"/>
      <c r="CJ74" s="39" t="s">
        <v>2773</v>
      </c>
      <c r="CK74" s="39"/>
      <c r="CL74" s="39"/>
      <c r="CM74" s="39"/>
      <c r="CN74" s="39">
        <v>6</v>
      </c>
      <c r="CO74" s="39">
        <f t="shared" ca="1" si="18"/>
        <v>-1</v>
      </c>
      <c r="CP74" s="39">
        <f t="shared" ca="1" si="19"/>
        <v>1</v>
      </c>
      <c r="CQ74" s="39"/>
      <c r="CR74" s="39">
        <v>6</v>
      </c>
      <c r="CS74" s="39">
        <f t="shared" ca="1" si="20"/>
        <v>-1</v>
      </c>
      <c r="CT74" s="39">
        <f t="shared" ca="1" si="21"/>
        <v>1</v>
      </c>
      <c r="CU74" s="285"/>
      <c r="CX74" s="54"/>
    </row>
    <row r="75" spans="1:102">
      <c r="A75" s="335">
        <v>68</v>
      </c>
      <c r="B75" s="39" t="str">
        <f t="shared" si="12"/>
        <v>α lyr</v>
      </c>
      <c r="C75" s="39" t="str">
        <f t="shared" si="13"/>
        <v>μ 57</v>
      </c>
      <c r="F75" s="25" t="s">
        <v>1868</v>
      </c>
      <c r="G75" s="22">
        <v>23</v>
      </c>
      <c r="H75" s="22">
        <v>38</v>
      </c>
      <c r="I75" s="22">
        <v>8.1999999999999993</v>
      </c>
      <c r="J75" s="22">
        <v>43</v>
      </c>
      <c r="K75" s="22">
        <v>16</v>
      </c>
      <c r="L75" s="22">
        <v>5</v>
      </c>
      <c r="M75" s="22" t="s">
        <v>150</v>
      </c>
      <c r="N75" s="22" t="s">
        <v>151</v>
      </c>
      <c r="R75" s="42" t="s">
        <v>2891</v>
      </c>
      <c r="S75" s="42" t="s">
        <v>2889</v>
      </c>
      <c r="T75" s="1" t="str">
        <f t="shared" si="2"/>
        <v>α</v>
      </c>
      <c r="U75" s="1" t="str">
        <f t="shared" si="3"/>
        <v>m</v>
      </c>
      <c r="V75" s="59"/>
      <c r="X75" s="42" t="s">
        <v>3142</v>
      </c>
      <c r="Y75" s="42" t="s">
        <v>320</v>
      </c>
      <c r="AA75" s="42" t="s">
        <v>1670</v>
      </c>
      <c r="AB75" s="42" t="s">
        <v>3220</v>
      </c>
      <c r="AC75" s="42" t="s">
        <v>2614</v>
      </c>
      <c r="AD75" s="42" t="s">
        <v>3221</v>
      </c>
      <c r="AE75" s="42" t="s">
        <v>3222</v>
      </c>
      <c r="AF75" s="42"/>
      <c r="AI75" s="1" t="s">
        <v>2835</v>
      </c>
      <c r="AJ75" s="83" t="str">
        <f>IF(B5=0,AJ74,"")</f>
        <v/>
      </c>
      <c r="AK75" s="67"/>
      <c r="AL75" s="59"/>
      <c r="AO75" s="58" t="str">
        <f>IF(AU49=4,"Ενεργή Οθόνη","Αδρανής Οθόνη")</f>
        <v>Αδρανής Οθόνη</v>
      </c>
      <c r="AP75" s="59"/>
      <c r="AU75" s="82"/>
      <c r="BE75" s="85"/>
      <c r="BM75" s="266"/>
      <c r="BN75" s="63" t="s">
        <v>4098</v>
      </c>
      <c r="BO75" s="520">
        <v>4</v>
      </c>
      <c r="BV75" s="266"/>
      <c r="BW75" s="272"/>
      <c r="BX75" s="93">
        <f ca="1">IF(BZ77=4,"  -0",BX71)</f>
        <v>18</v>
      </c>
      <c r="BY75" s="39" t="s">
        <v>2774</v>
      </c>
      <c r="BZ75" s="39">
        <f ca="1">IF(BX71=0,2,0)</f>
        <v>0</v>
      </c>
      <c r="CA75" s="39"/>
      <c r="CB75" s="39">
        <v>5</v>
      </c>
      <c r="CC75" s="39">
        <f t="shared" ca="1" si="14"/>
        <v>-1</v>
      </c>
      <c r="CD75" s="39">
        <f t="shared" ca="1" si="15"/>
        <v>1</v>
      </c>
      <c r="CE75" s="39"/>
      <c r="CF75" s="39">
        <v>5</v>
      </c>
      <c r="CG75" s="39">
        <f t="shared" ca="1" si="16"/>
        <v>-1</v>
      </c>
      <c r="CH75" s="39">
        <f t="shared" ca="1" si="17"/>
        <v>1</v>
      </c>
      <c r="CI75" s="272"/>
      <c r="CJ75" s="93">
        <f ca="1">IF(CL77=4,"  -0",CJ71)</f>
        <v>38</v>
      </c>
      <c r="CK75" s="39" t="s">
        <v>2774</v>
      </c>
      <c r="CL75" s="39">
        <f ca="1">IF(CJ71=0,2,0)</f>
        <v>0</v>
      </c>
      <c r="CM75" s="39"/>
      <c r="CN75" s="39">
        <v>5</v>
      </c>
      <c r="CO75" s="39">
        <f t="shared" ca="1" si="18"/>
        <v>-1</v>
      </c>
      <c r="CP75" s="39">
        <f t="shared" ca="1" si="19"/>
        <v>1</v>
      </c>
      <c r="CQ75" s="39"/>
      <c r="CR75" s="39">
        <v>5</v>
      </c>
      <c r="CS75" s="39">
        <f t="shared" ca="1" si="20"/>
        <v>-1</v>
      </c>
      <c r="CT75" s="39">
        <f t="shared" ca="1" si="21"/>
        <v>1</v>
      </c>
      <c r="CU75" s="285"/>
      <c r="CX75" s="54"/>
    </row>
    <row r="76" spans="1:102" ht="16.5">
      <c r="A76" s="335">
        <v>69</v>
      </c>
      <c r="B76" s="39" t="str">
        <f t="shared" si="12"/>
        <v>α lyr</v>
      </c>
      <c r="C76" s="39" t="str">
        <f t="shared" si="13"/>
        <v>μ 57</v>
      </c>
      <c r="F76" s="25" t="s">
        <v>1869</v>
      </c>
      <c r="G76" s="22">
        <v>23</v>
      </c>
      <c r="H76" s="22">
        <v>40</v>
      </c>
      <c r="I76" s="22">
        <v>24.5</v>
      </c>
      <c r="J76" s="22">
        <v>44</v>
      </c>
      <c r="K76" s="22">
        <v>20</v>
      </c>
      <c r="L76" s="22">
        <v>2</v>
      </c>
      <c r="M76" s="22" t="s">
        <v>152</v>
      </c>
      <c r="N76" s="22" t="s">
        <v>153</v>
      </c>
      <c r="R76" s="42" t="s">
        <v>2892</v>
      </c>
      <c r="S76" s="42" t="s">
        <v>2677</v>
      </c>
      <c r="T76" s="1" t="str">
        <f t="shared" si="2"/>
        <v>α</v>
      </c>
      <c r="U76" s="1" t="str">
        <f t="shared" si="3"/>
        <v>μ</v>
      </c>
      <c r="V76" s="59"/>
      <c r="X76" s="42" t="s">
        <v>3223</v>
      </c>
      <c r="Y76" s="42" t="s">
        <v>330</v>
      </c>
      <c r="AA76" s="42" t="s">
        <v>83</v>
      </c>
      <c r="AB76" s="42" t="s">
        <v>3224</v>
      </c>
      <c r="AC76" s="42" t="s">
        <v>1834</v>
      </c>
      <c r="AD76" s="42" t="s">
        <v>3225</v>
      </c>
      <c r="AE76" s="42" t="s">
        <v>3226</v>
      </c>
      <c r="AF76" s="42"/>
      <c r="AI76" s="1" t="s">
        <v>2836</v>
      </c>
      <c r="AJ76" s="83">
        <f>IF(B5&gt;0,B1209,"")</f>
        <v>394</v>
      </c>
      <c r="AK76" s="67"/>
      <c r="AL76" s="59"/>
      <c r="AO76" s="59" t="s">
        <v>2669</v>
      </c>
      <c r="AP76" s="59"/>
      <c r="AU76" s="82"/>
      <c r="BE76" s="85"/>
      <c r="BF76" s="647">
        <f>BF74+BJ74</f>
        <v>51.922250000000005</v>
      </c>
      <c r="BG76" s="1" t="s">
        <v>4109</v>
      </c>
      <c r="BH76" s="1">
        <f>IF(BH54=BG58,1,0)</f>
        <v>0</v>
      </c>
      <c r="BL76" s="1">
        <f>IF(BL54=BK58,1,0)</f>
        <v>0</v>
      </c>
      <c r="BM76" s="266"/>
      <c r="BN76" s="175" t="s">
        <v>4088</v>
      </c>
      <c r="BO76" s="639">
        <f>BO51+360</f>
        <v>285.32138129718197</v>
      </c>
      <c r="BV76" s="266"/>
      <c r="BW76" s="272"/>
      <c r="BX76" s="93">
        <f ca="1">CH91</f>
        <v>37</v>
      </c>
      <c r="BY76" s="39"/>
      <c r="BZ76" s="39">
        <f ca="1">BZ62</f>
        <v>1</v>
      </c>
      <c r="CA76" s="39"/>
      <c r="CB76" s="39">
        <v>4</v>
      </c>
      <c r="CC76" s="39">
        <f t="shared" ca="1" si="14"/>
        <v>-1</v>
      </c>
      <c r="CD76" s="39">
        <f t="shared" ca="1" si="15"/>
        <v>1</v>
      </c>
      <c r="CE76" s="39"/>
      <c r="CF76" s="39">
        <v>4</v>
      </c>
      <c r="CG76" s="39">
        <f t="shared" ca="1" si="16"/>
        <v>-1</v>
      </c>
      <c r="CH76" s="39">
        <f t="shared" ca="1" si="17"/>
        <v>1</v>
      </c>
      <c r="CI76" s="272"/>
      <c r="CJ76" s="93">
        <f ca="1">CT91</f>
        <v>48</v>
      </c>
      <c r="CK76" s="39"/>
      <c r="CL76" s="39">
        <f ca="1">CL62</f>
        <v>1</v>
      </c>
      <c r="CM76" s="39"/>
      <c r="CN76" s="39">
        <v>4</v>
      </c>
      <c r="CO76" s="39">
        <f t="shared" ca="1" si="18"/>
        <v>-1</v>
      </c>
      <c r="CP76" s="39">
        <f t="shared" ca="1" si="19"/>
        <v>1</v>
      </c>
      <c r="CQ76" s="39"/>
      <c r="CR76" s="39">
        <v>4</v>
      </c>
      <c r="CS76" s="39">
        <f t="shared" ca="1" si="20"/>
        <v>-1</v>
      </c>
      <c r="CT76" s="39">
        <f t="shared" ca="1" si="21"/>
        <v>1</v>
      </c>
      <c r="CU76" s="285"/>
      <c r="CX76" s="54"/>
    </row>
    <row r="77" spans="1:102">
      <c r="A77" s="335">
        <v>70</v>
      </c>
      <c r="B77" s="39" t="str">
        <f t="shared" si="12"/>
        <v>α lyr</v>
      </c>
      <c r="C77" s="39" t="str">
        <f t="shared" si="13"/>
        <v>μ 57</v>
      </c>
      <c r="F77" s="25" t="s">
        <v>1870</v>
      </c>
      <c r="G77" s="22">
        <v>23</v>
      </c>
      <c r="H77" s="22">
        <v>37</v>
      </c>
      <c r="I77" s="22">
        <v>33.799999999999997</v>
      </c>
      <c r="J77" s="22">
        <v>46</v>
      </c>
      <c r="K77" s="22">
        <v>27</v>
      </c>
      <c r="L77" s="22">
        <v>29</v>
      </c>
      <c r="M77" s="22" t="s">
        <v>154</v>
      </c>
      <c r="N77" s="22" t="s">
        <v>155</v>
      </c>
      <c r="R77" s="42" t="s">
        <v>2893</v>
      </c>
      <c r="S77" s="42" t="s">
        <v>2677</v>
      </c>
      <c r="T77" s="1" t="str">
        <f t="shared" si="2"/>
        <v>α</v>
      </c>
      <c r="U77" s="1" t="str">
        <f t="shared" si="3"/>
        <v>μ</v>
      </c>
      <c r="V77" s="59"/>
      <c r="X77" s="42" t="s">
        <v>3016</v>
      </c>
      <c r="Y77" s="42" t="s">
        <v>330</v>
      </c>
      <c r="AA77" s="42" t="s">
        <v>123</v>
      </c>
      <c r="AB77" s="42" t="s">
        <v>3227</v>
      </c>
      <c r="AC77" s="42" t="s">
        <v>1854</v>
      </c>
      <c r="AD77" s="42" t="s">
        <v>3228</v>
      </c>
      <c r="AE77" s="42" t="s">
        <v>3229</v>
      </c>
      <c r="AF77" s="42"/>
      <c r="AK77" s="67"/>
      <c r="AL77" s="59"/>
      <c r="AO77" s="59" t="s">
        <v>2670</v>
      </c>
      <c r="AP77" s="60">
        <v>2000</v>
      </c>
      <c r="AU77" s="82"/>
      <c r="BE77" s="85"/>
      <c r="BH77" s="1">
        <f>IF(BH56=BG58,1,0)</f>
        <v>0</v>
      </c>
      <c r="BL77" s="1">
        <f>IF(BL56=BK58,1,0)</f>
        <v>0</v>
      </c>
      <c r="BM77" s="266"/>
      <c r="BN77" s="43"/>
      <c r="BO77" s="640">
        <f>BO51</f>
        <v>-74.678618702818042</v>
      </c>
      <c r="BT77" s="63" t="s">
        <v>4097</v>
      </c>
      <c r="BV77" s="266"/>
      <c r="BW77" s="272"/>
      <c r="BX77" s="93">
        <f ca="1">CH92</f>
        <v>36.625611642306239</v>
      </c>
      <c r="BY77" s="39"/>
      <c r="BZ77" s="39">
        <f ca="1">BZ76+BZ75</f>
        <v>1</v>
      </c>
      <c r="CA77" s="39"/>
      <c r="CB77" s="39">
        <v>3</v>
      </c>
      <c r="CC77" s="39">
        <f t="shared" ca="1" si="14"/>
        <v>-1</v>
      </c>
      <c r="CD77" s="39">
        <f t="shared" ca="1" si="15"/>
        <v>1</v>
      </c>
      <c r="CE77" s="39"/>
      <c r="CF77" s="39">
        <v>3</v>
      </c>
      <c r="CG77" s="39">
        <f t="shared" ca="1" si="16"/>
        <v>-1</v>
      </c>
      <c r="CH77" s="39">
        <f t="shared" ca="1" si="17"/>
        <v>1</v>
      </c>
      <c r="CI77" s="272"/>
      <c r="CJ77" s="93">
        <f ca="1">CT92</f>
        <v>5.772530249479928</v>
      </c>
      <c r="CK77" s="39"/>
      <c r="CL77" s="39">
        <f ca="1">CL76+CL75</f>
        <v>1</v>
      </c>
      <c r="CM77" s="39"/>
      <c r="CN77" s="39">
        <v>3</v>
      </c>
      <c r="CO77" s="39">
        <f t="shared" ca="1" si="18"/>
        <v>-1</v>
      </c>
      <c r="CP77" s="39">
        <f t="shared" ca="1" si="19"/>
        <v>1</v>
      </c>
      <c r="CQ77" s="39"/>
      <c r="CR77" s="39">
        <v>3</v>
      </c>
      <c r="CS77" s="39">
        <f t="shared" ca="1" si="20"/>
        <v>-1</v>
      </c>
      <c r="CT77" s="39">
        <f t="shared" ca="1" si="21"/>
        <v>1</v>
      </c>
      <c r="CU77" s="285"/>
      <c r="CX77" s="54"/>
    </row>
    <row r="78" spans="1:102">
      <c r="A78" s="335">
        <v>71</v>
      </c>
      <c r="B78" s="39" t="str">
        <f t="shared" si="12"/>
        <v>α lyr</v>
      </c>
      <c r="C78" s="39" t="str">
        <f t="shared" si="13"/>
        <v>μ 57</v>
      </c>
      <c r="F78" s="25" t="s">
        <v>1871</v>
      </c>
      <c r="G78" s="22">
        <v>0</v>
      </c>
      <c r="H78" s="22">
        <v>56</v>
      </c>
      <c r="I78" s="22">
        <v>45.4</v>
      </c>
      <c r="J78" s="22">
        <v>38</v>
      </c>
      <c r="K78" s="22">
        <v>29</v>
      </c>
      <c r="L78" s="22">
        <v>58</v>
      </c>
      <c r="M78" s="22" t="s">
        <v>156</v>
      </c>
      <c r="N78" s="22" t="s">
        <v>157</v>
      </c>
      <c r="R78" s="42" t="s">
        <v>2894</v>
      </c>
      <c r="S78" s="42" t="s">
        <v>2895</v>
      </c>
      <c r="T78" s="1" t="str">
        <f t="shared" si="2"/>
        <v>α</v>
      </c>
      <c r="U78" s="1" t="str">
        <f t="shared" si="3"/>
        <v>μ</v>
      </c>
      <c r="V78" s="59"/>
      <c r="X78" s="42" t="s">
        <v>3230</v>
      </c>
      <c r="Y78" s="42" t="s">
        <v>340</v>
      </c>
      <c r="AA78" s="42" t="s">
        <v>423</v>
      </c>
      <c r="AB78" s="42" t="s">
        <v>3009</v>
      </c>
      <c r="AC78" s="42" t="s">
        <v>1999</v>
      </c>
      <c r="AD78" s="42" t="s">
        <v>3231</v>
      </c>
      <c r="AE78" s="42" t="s">
        <v>3232</v>
      </c>
      <c r="AF78" s="42"/>
      <c r="AJ78" s="1">
        <f>1201-C1209</f>
        <v>747</v>
      </c>
      <c r="AK78" s="67"/>
      <c r="AL78" s="59"/>
      <c r="AO78" s="56" t="s">
        <v>2673</v>
      </c>
      <c r="AP78" s="61"/>
      <c r="AU78" s="82"/>
      <c r="BE78" s="85"/>
      <c r="BH78" s="1">
        <f>IF(BH58=BG58,1,0)</f>
        <v>0</v>
      </c>
      <c r="BL78" s="1">
        <f>IF(BL58=BK58,1,0)</f>
        <v>0</v>
      </c>
      <c r="BM78" s="266"/>
      <c r="BN78" s="191" t="s">
        <v>4100</v>
      </c>
      <c r="BO78" s="641">
        <f>IF(BO76&gt;360,BO77,BO76)</f>
        <v>285.32138129718197</v>
      </c>
      <c r="BT78" s="63" t="s">
        <v>4099</v>
      </c>
      <c r="BU78" s="638">
        <f ca="1">BU54</f>
        <v>4</v>
      </c>
      <c r="BV78" s="266"/>
      <c r="BW78" s="272"/>
      <c r="BX78" s="278" t="s">
        <v>4106</v>
      </c>
      <c r="BY78" s="39"/>
      <c r="BZ78" s="39"/>
      <c r="CA78" s="39"/>
      <c r="CB78" s="39">
        <v>2</v>
      </c>
      <c r="CC78" s="39">
        <f t="shared" ca="1" si="14"/>
        <v>-1</v>
      </c>
      <c r="CD78" s="39">
        <f t="shared" ca="1" si="15"/>
        <v>1</v>
      </c>
      <c r="CE78" s="39"/>
      <c r="CF78" s="39">
        <v>2</v>
      </c>
      <c r="CG78" s="39">
        <f t="shared" ca="1" si="16"/>
        <v>-1</v>
      </c>
      <c r="CH78" s="39">
        <f t="shared" ca="1" si="17"/>
        <v>1</v>
      </c>
      <c r="CI78" s="272"/>
      <c r="CJ78" s="278" t="s">
        <v>4106</v>
      </c>
      <c r="CK78" s="39"/>
      <c r="CL78" s="39"/>
      <c r="CM78" s="39"/>
      <c r="CN78" s="39">
        <v>2</v>
      </c>
      <c r="CO78" s="39">
        <f t="shared" ca="1" si="18"/>
        <v>-1</v>
      </c>
      <c r="CP78" s="39">
        <f t="shared" ca="1" si="19"/>
        <v>1</v>
      </c>
      <c r="CQ78" s="39"/>
      <c r="CR78" s="39">
        <v>2</v>
      </c>
      <c r="CS78" s="39">
        <f t="shared" ca="1" si="20"/>
        <v>-1</v>
      </c>
      <c r="CT78" s="39">
        <f t="shared" ca="1" si="21"/>
        <v>1</v>
      </c>
      <c r="CU78" s="285"/>
      <c r="CX78" s="54"/>
    </row>
    <row r="79" spans="1:102">
      <c r="A79" s="335">
        <v>72</v>
      </c>
      <c r="B79" s="39" t="str">
        <f t="shared" si="12"/>
        <v>α lyr</v>
      </c>
      <c r="C79" s="39" t="str">
        <f t="shared" si="13"/>
        <v>μ 57</v>
      </c>
      <c r="F79" s="25" t="s">
        <v>1872</v>
      </c>
      <c r="G79" s="22">
        <v>0</v>
      </c>
      <c r="H79" s="22">
        <v>49</v>
      </c>
      <c r="I79" s="22">
        <v>48.8</v>
      </c>
      <c r="J79" s="22">
        <v>41</v>
      </c>
      <c r="K79" s="22">
        <v>4</v>
      </c>
      <c r="L79" s="22">
        <v>44</v>
      </c>
      <c r="M79" s="22" t="s">
        <v>158</v>
      </c>
      <c r="N79" s="22" t="s">
        <v>159</v>
      </c>
      <c r="R79" s="42" t="s">
        <v>2896</v>
      </c>
      <c r="S79" s="42" t="s">
        <v>2895</v>
      </c>
      <c r="T79" s="1" t="str">
        <f t="shared" si="2"/>
        <v>α</v>
      </c>
      <c r="U79" s="1" t="str">
        <f t="shared" si="3"/>
        <v>μ</v>
      </c>
      <c r="V79" s="59"/>
      <c r="X79" s="42" t="s">
        <v>3122</v>
      </c>
      <c r="Y79" s="42" t="s">
        <v>340</v>
      </c>
      <c r="AA79" s="42" t="s">
        <v>1454</v>
      </c>
      <c r="AB79" s="42" t="s">
        <v>3233</v>
      </c>
      <c r="AC79" s="42" t="s">
        <v>2518</v>
      </c>
      <c r="AD79" s="42" t="s">
        <v>3234</v>
      </c>
      <c r="AE79" s="42" t="s">
        <v>3235</v>
      </c>
      <c r="AF79" s="42"/>
      <c r="AI79" s="1" t="s">
        <v>2837</v>
      </c>
      <c r="AJ79" s="83" t="str">
        <f>IF(C5=0,AJ78,"")</f>
        <v/>
      </c>
      <c r="AK79" s="67"/>
      <c r="AL79" s="59"/>
      <c r="AO79" s="57" t="s">
        <v>2667</v>
      </c>
      <c r="AP79" s="61"/>
      <c r="AU79" s="82"/>
      <c r="BE79" s="85"/>
      <c r="BH79" s="62">
        <f>BH76+BH77+BH78</f>
        <v>0</v>
      </c>
      <c r="BL79" s="62">
        <f>BL76+BL77+BL78</f>
        <v>0</v>
      </c>
      <c r="BM79" s="266"/>
      <c r="BT79" s="69">
        <v>1</v>
      </c>
      <c r="BU79" s="69">
        <f ca="1">BU60</f>
        <v>18.626840447678418</v>
      </c>
      <c r="BV79" s="266"/>
      <c r="BW79" s="272"/>
      <c r="BX79" s="91">
        <f ca="1">IF(BZ79=0,"",BX75)</f>
        <v>18</v>
      </c>
      <c r="BY79" s="39"/>
      <c r="BZ79" s="39">
        <f>BZ67</f>
        <v>57.399250000000002</v>
      </c>
      <c r="CA79" s="39"/>
      <c r="CB79" s="39">
        <v>1</v>
      </c>
      <c r="CC79" s="39">
        <f t="shared" ca="1" si="14"/>
        <v>-1</v>
      </c>
      <c r="CD79" s="39">
        <f t="shared" ca="1" si="15"/>
        <v>1</v>
      </c>
      <c r="CE79" s="39"/>
      <c r="CF79" s="39">
        <v>1</v>
      </c>
      <c r="CG79" s="39">
        <f t="shared" ca="1" si="16"/>
        <v>-1</v>
      </c>
      <c r="CH79" s="39">
        <f t="shared" ca="1" si="17"/>
        <v>1</v>
      </c>
      <c r="CI79" s="272"/>
      <c r="CJ79" s="91">
        <f ca="1">IF(CL79=0,"",CJ75)</f>
        <v>38</v>
      </c>
      <c r="CK79" s="39"/>
      <c r="CL79" s="39">
        <f>BZ79</f>
        <v>57.399250000000002</v>
      </c>
      <c r="CM79" s="39"/>
      <c r="CN79" s="39">
        <v>1</v>
      </c>
      <c r="CO79" s="39">
        <f t="shared" ca="1" si="18"/>
        <v>-1</v>
      </c>
      <c r="CP79" s="39">
        <f t="shared" ca="1" si="19"/>
        <v>1</v>
      </c>
      <c r="CQ79" s="39"/>
      <c r="CR79" s="39">
        <v>1</v>
      </c>
      <c r="CS79" s="39">
        <f t="shared" ca="1" si="20"/>
        <v>-1</v>
      </c>
      <c r="CT79" s="39">
        <f t="shared" ca="1" si="21"/>
        <v>1</v>
      </c>
      <c r="CU79" s="285"/>
      <c r="CX79" s="54"/>
    </row>
    <row r="80" spans="1:102">
      <c r="A80" s="335">
        <v>73</v>
      </c>
      <c r="B80" s="39" t="str">
        <f t="shared" si="12"/>
        <v>α lyr</v>
      </c>
      <c r="C80" s="39" t="str">
        <f t="shared" si="13"/>
        <v>μ 57</v>
      </c>
      <c r="F80" s="25" t="s">
        <v>1873</v>
      </c>
      <c r="G80" s="22">
        <v>23</v>
      </c>
      <c r="H80" s="22">
        <v>1</v>
      </c>
      <c r="I80" s="22">
        <v>55.3</v>
      </c>
      <c r="J80" s="22">
        <v>42</v>
      </c>
      <c r="K80" s="22">
        <v>19</v>
      </c>
      <c r="L80" s="22">
        <v>34</v>
      </c>
      <c r="M80" s="22" t="s">
        <v>160</v>
      </c>
      <c r="N80" s="22" t="s">
        <v>161</v>
      </c>
      <c r="R80" s="42" t="s">
        <v>2897</v>
      </c>
      <c r="S80" s="42" t="s">
        <v>2898</v>
      </c>
      <c r="T80" s="1" t="str">
        <f t="shared" si="2"/>
        <v>α</v>
      </c>
      <c r="U80" s="1" t="str">
        <f t="shared" si="3"/>
        <v>μ</v>
      </c>
      <c r="V80" s="59"/>
      <c r="X80" s="42" t="s">
        <v>3236</v>
      </c>
      <c r="Y80" s="42" t="s">
        <v>385</v>
      </c>
      <c r="AA80" s="42" t="s">
        <v>79</v>
      </c>
      <c r="AB80" s="42" t="s">
        <v>3094</v>
      </c>
      <c r="AC80" s="42" t="s">
        <v>1832</v>
      </c>
      <c r="AD80" s="42" t="s">
        <v>3066</v>
      </c>
      <c r="AE80" s="42" t="s">
        <v>3237</v>
      </c>
      <c r="AF80" s="42"/>
      <c r="AI80" s="1" t="s">
        <v>2838</v>
      </c>
      <c r="AJ80" s="83">
        <f>IF(C5&gt;0,C1209,"")</f>
        <v>454</v>
      </c>
      <c r="AK80" s="67"/>
      <c r="AL80" s="59"/>
      <c r="AO80" s="95" t="s">
        <v>2671</v>
      </c>
      <c r="AP80" s="61"/>
      <c r="AU80" s="82"/>
      <c r="BE80" s="85"/>
      <c r="BF80" s="1">
        <f>IF(BH80=0,0,1)</f>
        <v>0</v>
      </c>
      <c r="BG80" s="253" t="s">
        <v>2744</v>
      </c>
      <c r="BH80" s="254">
        <f>IF(BH79=0,0,1)</f>
        <v>0</v>
      </c>
      <c r="BJ80" s="1">
        <f>IF(BL80=0,0,1)</f>
        <v>0</v>
      </c>
      <c r="BK80" s="253" t="s">
        <v>2744</v>
      </c>
      <c r="BL80" s="254">
        <f>IF(BL79=0,0,1)</f>
        <v>0</v>
      </c>
      <c r="BM80" s="266"/>
      <c r="BN80" s="63" t="s">
        <v>4101</v>
      </c>
      <c r="BO80" s="642">
        <f>BO61</f>
        <v>4</v>
      </c>
      <c r="BT80" s="42">
        <v>2</v>
      </c>
      <c r="BU80" s="42">
        <f ca="1">BU65</f>
        <v>17.373159552321582</v>
      </c>
      <c r="BV80" s="266"/>
      <c r="BW80" s="272"/>
      <c r="BX80" s="91">
        <f t="shared" ref="BX80:BX81" ca="1" si="22">IF(BZ80=0,"",BX76)</f>
        <v>37</v>
      </c>
      <c r="BY80" s="39"/>
      <c r="BZ80" s="39">
        <f>BZ79</f>
        <v>57.399250000000002</v>
      </c>
      <c r="CA80" s="39"/>
      <c r="CB80" s="39"/>
      <c r="CC80" s="39"/>
      <c r="CD80" s="279">
        <f ca="1">SUM(CD71:CD79)</f>
        <v>8</v>
      </c>
      <c r="CE80" s="39"/>
      <c r="CF80" s="39"/>
      <c r="CG80" s="39"/>
      <c r="CH80" s="279">
        <f ca="1">SUM(CH71:CH79)</f>
        <v>7</v>
      </c>
      <c r="CI80" s="272"/>
      <c r="CJ80" s="91">
        <f t="shared" ref="CJ80:CJ81" ca="1" si="23">IF(CL80=0,"",CJ76)</f>
        <v>48</v>
      </c>
      <c r="CK80" s="39"/>
      <c r="CL80" s="39">
        <f>BZ80</f>
        <v>57.399250000000002</v>
      </c>
      <c r="CM80" s="39"/>
      <c r="CN80" s="39"/>
      <c r="CO80" s="39"/>
      <c r="CP80" s="279">
        <f ca="1">SUM(CP71:CP79)</f>
        <v>8</v>
      </c>
      <c r="CQ80" s="39"/>
      <c r="CR80" s="39"/>
      <c r="CS80" s="39"/>
      <c r="CT80" s="279">
        <f ca="1">SUM(CT71:CT79)</f>
        <v>8</v>
      </c>
      <c r="CU80" s="285"/>
      <c r="CX80" s="54"/>
    </row>
    <row r="81" spans="1:102">
      <c r="A81" s="335">
        <v>74</v>
      </c>
      <c r="B81" s="39" t="str">
        <f t="shared" si="12"/>
        <v>α lyr</v>
      </c>
      <c r="C81" s="39" t="str">
        <f t="shared" si="13"/>
        <v>μ 57</v>
      </c>
      <c r="F81" s="25" t="s">
        <v>1874</v>
      </c>
      <c r="G81" s="22">
        <v>1</v>
      </c>
      <c r="H81" s="22">
        <v>9</v>
      </c>
      <c r="I81" s="22">
        <v>30.1</v>
      </c>
      <c r="J81" s="22">
        <v>47</v>
      </c>
      <c r="K81" s="22">
        <v>14</v>
      </c>
      <c r="L81" s="22">
        <v>30</v>
      </c>
      <c r="M81" s="22" t="s">
        <v>162</v>
      </c>
      <c r="N81" s="22" t="s">
        <v>163</v>
      </c>
      <c r="R81" s="42" t="s">
        <v>2899</v>
      </c>
      <c r="S81" s="42" t="s">
        <v>2900</v>
      </c>
      <c r="T81" s="1" t="str">
        <f t="shared" si="2"/>
        <v>α</v>
      </c>
      <c r="U81" s="1" t="str">
        <f t="shared" si="3"/>
        <v>μ</v>
      </c>
      <c r="V81" s="59"/>
      <c r="X81" s="42" t="s">
        <v>3108</v>
      </c>
      <c r="Y81" s="42" t="s">
        <v>385</v>
      </c>
      <c r="AA81" s="42" t="s">
        <v>3238</v>
      </c>
      <c r="AB81" s="42"/>
      <c r="AC81" s="42"/>
      <c r="AD81" s="42"/>
      <c r="AE81" s="42"/>
      <c r="AF81" s="42"/>
      <c r="AJ81" s="86"/>
      <c r="AK81" s="67"/>
      <c r="AL81" s="59"/>
      <c r="AU81" s="82"/>
      <c r="BE81" s="85"/>
      <c r="BF81" s="1">
        <f>IF(BH81=0,0,1)</f>
        <v>0</v>
      </c>
      <c r="BG81" s="253" t="s">
        <v>2745</v>
      </c>
      <c r="BH81" s="254">
        <f>IF(BH70&lt;1,2,0)</f>
        <v>0</v>
      </c>
      <c r="BJ81" s="1">
        <f>IF(BL81=0,0,1)</f>
        <v>0</v>
      </c>
      <c r="BK81" s="253" t="s">
        <v>2745</v>
      </c>
      <c r="BL81" s="254">
        <f>IF(BL70&lt;1,2,0)</f>
        <v>0</v>
      </c>
      <c r="BM81" s="266"/>
      <c r="BN81" s="69">
        <v>1</v>
      </c>
      <c r="BO81" s="69">
        <f>BO67</f>
        <v>285.32138129718197</v>
      </c>
      <c r="BT81" s="42">
        <v>3</v>
      </c>
      <c r="BU81" s="42">
        <f ca="1">BU68</f>
        <v>17.373159552321582</v>
      </c>
      <c r="BV81" s="266"/>
      <c r="BW81" s="272"/>
      <c r="BX81" s="91">
        <f t="shared" ca="1" si="22"/>
        <v>36.625611642306239</v>
      </c>
      <c r="BY81" s="39"/>
      <c r="BZ81" s="39">
        <f>BZ80</f>
        <v>57.399250000000002</v>
      </c>
      <c r="CA81" s="39"/>
      <c r="CD81" s="82">
        <f ca="1">CD80+CD68</f>
        <v>18</v>
      </c>
      <c r="CI81" s="272"/>
      <c r="CJ81" s="91">
        <f t="shared" ca="1" si="23"/>
        <v>5.772530249479928</v>
      </c>
      <c r="CK81" s="39"/>
      <c r="CL81" s="39">
        <f>BZ81</f>
        <v>57.399250000000002</v>
      </c>
      <c r="CM81" s="39"/>
      <c r="CP81" s="82">
        <f ca="1">CP80+CP68</f>
        <v>38</v>
      </c>
      <c r="CU81" s="285"/>
      <c r="CX81" s="54"/>
    </row>
    <row r="82" spans="1:102">
      <c r="A82" s="335">
        <v>75</v>
      </c>
      <c r="B82" s="39" t="str">
        <f t="shared" si="12"/>
        <v>α lyr</v>
      </c>
      <c r="C82" s="39" t="str">
        <f t="shared" si="13"/>
        <v>μ 57</v>
      </c>
      <c r="F82" s="25" t="s">
        <v>1875</v>
      </c>
      <c r="G82" s="22">
        <v>23</v>
      </c>
      <c r="H82" s="22">
        <v>46</v>
      </c>
      <c r="I82" s="22">
        <v>2.1</v>
      </c>
      <c r="J82" s="22">
        <v>46</v>
      </c>
      <c r="K82" s="22">
        <v>25</v>
      </c>
      <c r="L82" s="22">
        <v>13</v>
      </c>
      <c r="M82" s="22" t="s">
        <v>164</v>
      </c>
      <c r="N82" s="22" t="s">
        <v>165</v>
      </c>
      <c r="R82" s="42" t="s">
        <v>2901</v>
      </c>
      <c r="S82" s="42" t="s">
        <v>2900</v>
      </c>
      <c r="T82" s="1" t="str">
        <f t="shared" si="2"/>
        <v>α</v>
      </c>
      <c r="U82" s="1" t="str">
        <f t="shared" si="3"/>
        <v>μ</v>
      </c>
      <c r="V82" s="59"/>
      <c r="X82" s="42" t="s">
        <v>3239</v>
      </c>
      <c r="Y82" s="42" t="s">
        <v>639</v>
      </c>
      <c r="AA82" s="42" t="s">
        <v>3240</v>
      </c>
      <c r="AB82" s="42"/>
      <c r="AC82" s="42"/>
      <c r="AD82" s="42"/>
      <c r="AE82" s="42"/>
      <c r="AF82" s="42"/>
      <c r="AI82" s="76" t="s">
        <v>2695</v>
      </c>
      <c r="AJ82" s="94"/>
      <c r="AK82" s="67"/>
      <c r="AL82" s="59"/>
      <c r="AU82" s="82"/>
      <c r="BE82" s="85"/>
      <c r="BF82" s="1">
        <f>IF(BH82=0,0,1)</f>
        <v>0</v>
      </c>
      <c r="BG82" s="253" t="s">
        <v>2746</v>
      </c>
      <c r="BH82" s="254">
        <f>IF(BH73&gt;24,3,0)</f>
        <v>0</v>
      </c>
      <c r="BJ82" s="1">
        <f>IF(BL82=0,0,1)</f>
        <v>0</v>
      </c>
      <c r="BK82" s="253" t="s">
        <v>2746</v>
      </c>
      <c r="BL82" s="254">
        <f>IF(BL73&gt;90,3,0)</f>
        <v>0</v>
      </c>
      <c r="BM82" s="266"/>
      <c r="BN82" s="42">
        <v>2</v>
      </c>
      <c r="BO82" s="42">
        <f>BO70</f>
        <v>254.67861870281803</v>
      </c>
      <c r="BT82" s="70">
        <v>4</v>
      </c>
      <c r="BU82" s="42">
        <f ca="1">BU74</f>
        <v>18.626840447678418</v>
      </c>
      <c r="BV82" s="266"/>
      <c r="BW82" s="272"/>
      <c r="BX82" s="39"/>
      <c r="BY82" s="39"/>
      <c r="BZ82" s="39"/>
      <c r="CA82" s="39"/>
      <c r="CB82" s="39"/>
      <c r="CC82" s="39"/>
      <c r="CD82" s="274">
        <f ca="1">CC70-CD80</f>
        <v>0.6268404476784184</v>
      </c>
      <c r="CE82" s="281">
        <f ca="1">CD82*60</f>
        <v>37.610426860705104</v>
      </c>
      <c r="CF82" s="39"/>
      <c r="CG82" s="39"/>
      <c r="CH82" s="280">
        <f ca="1">CG70-CH80</f>
        <v>0.61042686070510399</v>
      </c>
      <c r="CI82" s="272"/>
      <c r="CJ82" s="39"/>
      <c r="CK82" s="39"/>
      <c r="CL82" s="39"/>
      <c r="CM82" s="39"/>
      <c r="CN82" s="39"/>
      <c r="CO82" s="39"/>
      <c r="CP82" s="274">
        <f ca="1">CO70-CP80</f>
        <v>0.80160348062485554</v>
      </c>
      <c r="CQ82" s="281">
        <f ca="1">CP82*60</f>
        <v>48.096208837491332</v>
      </c>
      <c r="CR82" s="39"/>
      <c r="CS82" s="39"/>
      <c r="CT82" s="280">
        <f ca="1">CS70-CT80</f>
        <v>9.6208837491332133E-2</v>
      </c>
      <c r="CU82" s="285"/>
      <c r="CX82" s="54"/>
    </row>
    <row r="83" spans="1:102">
      <c r="A83" s="335">
        <v>76</v>
      </c>
      <c r="B83" s="39" t="str">
        <f t="shared" si="12"/>
        <v>α lyr</v>
      </c>
      <c r="C83" s="39" t="str">
        <f t="shared" si="13"/>
        <v>μ 57</v>
      </c>
      <c r="F83" s="27" t="s">
        <v>1876</v>
      </c>
      <c r="G83" s="26"/>
      <c r="H83" s="26"/>
      <c r="I83" s="26"/>
      <c r="J83" s="26"/>
      <c r="K83" s="26"/>
      <c r="L83" s="26"/>
      <c r="M83" s="26" t="s">
        <v>166</v>
      </c>
      <c r="N83" s="26" t="s">
        <v>167</v>
      </c>
      <c r="R83" s="42" t="s">
        <v>2902</v>
      </c>
      <c r="S83" s="42" t="s">
        <v>2900</v>
      </c>
      <c r="T83" s="1" t="str">
        <f t="shared" si="2"/>
        <v>α</v>
      </c>
      <c r="U83" s="1" t="str">
        <f t="shared" si="3"/>
        <v>μ</v>
      </c>
      <c r="V83" s="59"/>
      <c r="X83" s="42" t="s">
        <v>3241</v>
      </c>
      <c r="Y83" s="42" t="s">
        <v>639</v>
      </c>
      <c r="AA83" s="42" t="s">
        <v>3242</v>
      </c>
      <c r="AB83" s="42" t="str">
        <f>""</f>
        <v/>
      </c>
      <c r="AC83" s="42" t="str">
        <f>""</f>
        <v/>
      </c>
      <c r="AD83" s="42" t="str">
        <f>""</f>
        <v/>
      </c>
      <c r="AE83" s="42" t="str">
        <f>""</f>
        <v/>
      </c>
      <c r="AF83" s="42" t="s">
        <v>3740</v>
      </c>
      <c r="AK83" s="67"/>
      <c r="AL83" s="59"/>
      <c r="AU83" s="82"/>
      <c r="BE83" s="85"/>
      <c r="BF83" s="1">
        <f>IF(BH83=0,0,1)</f>
        <v>0</v>
      </c>
      <c r="BG83" s="253" t="s">
        <v>2748</v>
      </c>
      <c r="BH83" s="254">
        <f>IF(BH73&lt;0,4,0)</f>
        <v>0</v>
      </c>
      <c r="BJ83" s="1">
        <f>IF(BL83=0,0,1)</f>
        <v>0</v>
      </c>
      <c r="BK83" s="253" t="s">
        <v>2748</v>
      </c>
      <c r="BL83" s="254">
        <f>IF(BL73&lt;-90,4,0)</f>
        <v>0</v>
      </c>
      <c r="BM83" s="266"/>
      <c r="BN83" s="42">
        <v>3</v>
      </c>
      <c r="BO83" s="42">
        <f>BO73</f>
        <v>254.67861870281803</v>
      </c>
      <c r="BT83" s="1" t="s">
        <v>4102</v>
      </c>
      <c r="BU83" s="623">
        <f ca="1">LOOKUP(BU78,(BT79:BT82),(BU79:BU82))</f>
        <v>18.626840447678418</v>
      </c>
      <c r="BV83" s="266"/>
      <c r="BW83" s="272"/>
      <c r="BX83" s="39"/>
      <c r="BY83" s="39"/>
      <c r="BZ83" s="39"/>
      <c r="CA83" s="39"/>
      <c r="CB83" s="39" t="s">
        <v>2775</v>
      </c>
      <c r="CC83" s="39"/>
      <c r="CD83" s="39"/>
      <c r="CE83" s="39"/>
      <c r="CF83" s="39" t="s">
        <v>2776</v>
      </c>
      <c r="CG83" s="39"/>
      <c r="CH83" s="39">
        <f ca="1">CG58-CH82</f>
        <v>37</v>
      </c>
      <c r="CI83" s="272"/>
      <c r="CJ83" s="39"/>
      <c r="CK83" s="39"/>
      <c r="CL83" s="39"/>
      <c r="CM83" s="39"/>
      <c r="CN83" s="39" t="s">
        <v>2775</v>
      </c>
      <c r="CO83" s="39"/>
      <c r="CP83" s="39"/>
      <c r="CQ83" s="39"/>
      <c r="CR83" s="39" t="s">
        <v>2776</v>
      </c>
      <c r="CS83" s="39"/>
      <c r="CT83" s="39">
        <f ca="1">CS58-CT82</f>
        <v>48</v>
      </c>
      <c r="CU83" s="285"/>
      <c r="CX83" s="54"/>
    </row>
    <row r="84" spans="1:102">
      <c r="A84" s="335">
        <v>77</v>
      </c>
      <c r="B84" s="39" t="str">
        <f t="shared" si="12"/>
        <v>α lyr</v>
      </c>
      <c r="C84" s="39" t="str">
        <f t="shared" si="13"/>
        <v>μ 57</v>
      </c>
      <c r="F84" s="25" t="s">
        <v>1877</v>
      </c>
      <c r="G84" s="22">
        <v>10</v>
      </c>
      <c r="H84" s="22">
        <v>27</v>
      </c>
      <c r="I84" s="22">
        <v>9.1</v>
      </c>
      <c r="J84" s="22">
        <v>-31</v>
      </c>
      <c r="K84" s="22">
        <v>-4</v>
      </c>
      <c r="L84" s="22">
        <v>-4</v>
      </c>
      <c r="M84" s="22" t="s">
        <v>168</v>
      </c>
      <c r="N84" s="22" t="s">
        <v>169</v>
      </c>
      <c r="R84" s="42" t="s">
        <v>2903</v>
      </c>
      <c r="S84" s="42" t="s">
        <v>2904</v>
      </c>
      <c r="T84" s="1" t="str">
        <f t="shared" si="2"/>
        <v>α</v>
      </c>
      <c r="U84" s="1" t="str">
        <f t="shared" si="3"/>
        <v>μ</v>
      </c>
      <c r="V84" s="59"/>
      <c r="X84" s="42" t="s">
        <v>3243</v>
      </c>
      <c r="Y84" s="42" t="s">
        <v>639</v>
      </c>
      <c r="AA84" s="70"/>
      <c r="AB84" s="70"/>
      <c r="AC84" s="70"/>
      <c r="AD84" s="70"/>
      <c r="AE84" s="70"/>
      <c r="AF84" s="70"/>
      <c r="AK84" s="67"/>
      <c r="AL84" s="59"/>
      <c r="AU84" s="82"/>
      <c r="BE84" s="85"/>
      <c r="BF84" s="63" t="s">
        <v>2750</v>
      </c>
      <c r="BG84" s="253" t="s">
        <v>2751</v>
      </c>
      <c r="BH84" s="254">
        <f>IF(BF86&gt;1,5,0)</f>
        <v>0</v>
      </c>
      <c r="BJ84" s="63" t="s">
        <v>2750</v>
      </c>
      <c r="BK84" s="253" t="s">
        <v>2751</v>
      </c>
      <c r="BL84" s="254">
        <f>IF(BJ86&gt;1,5,0)</f>
        <v>0</v>
      </c>
      <c r="BM84" s="266"/>
      <c r="BN84" s="70">
        <v>4</v>
      </c>
      <c r="BO84" s="42">
        <f>BO78</f>
        <v>285.32138129718197</v>
      </c>
      <c r="BV84" s="266"/>
      <c r="BW84" s="272"/>
      <c r="BX84" s="39"/>
      <c r="BY84" s="39"/>
      <c r="BZ84" s="39"/>
      <c r="CA84" s="39"/>
      <c r="CB84" s="39"/>
      <c r="CC84" s="39"/>
      <c r="CD84" s="39"/>
      <c r="CE84" s="39"/>
      <c r="CF84" s="39" t="s">
        <v>2764</v>
      </c>
      <c r="CG84" s="39"/>
      <c r="CH84" s="39">
        <f ca="1">CH82*60</f>
        <v>36.625611642306239</v>
      </c>
      <c r="CI84" s="272"/>
      <c r="CJ84" s="39"/>
      <c r="CK84" s="39"/>
      <c r="CL84" s="39"/>
      <c r="CM84" s="39"/>
      <c r="CN84" s="39"/>
      <c r="CO84" s="39"/>
      <c r="CP84" s="39"/>
      <c r="CQ84" s="39"/>
      <c r="CR84" s="39" t="s">
        <v>2764</v>
      </c>
      <c r="CS84" s="39"/>
      <c r="CT84" s="39">
        <f ca="1">CT82*60</f>
        <v>5.772530249479928</v>
      </c>
      <c r="CU84" s="285"/>
      <c r="CX84" s="54"/>
    </row>
    <row r="85" spans="1:102">
      <c r="A85" s="335">
        <v>78</v>
      </c>
      <c r="B85" s="39" t="str">
        <f t="shared" si="12"/>
        <v>α lyr</v>
      </c>
      <c r="C85" s="39" t="str">
        <f t="shared" si="13"/>
        <v>μ 57</v>
      </c>
      <c r="F85" s="25" t="s">
        <v>1878</v>
      </c>
      <c r="G85" s="22">
        <v>10</v>
      </c>
      <c r="H85" s="22">
        <v>56</v>
      </c>
      <c r="I85" s="22">
        <v>43.1</v>
      </c>
      <c r="J85" s="22">
        <v>-37</v>
      </c>
      <c r="K85" s="22">
        <v>-8</v>
      </c>
      <c r="L85" s="22">
        <v>-16</v>
      </c>
      <c r="M85" s="22" t="s">
        <v>170</v>
      </c>
      <c r="N85" s="22" t="s">
        <v>171</v>
      </c>
      <c r="R85" s="258" t="s">
        <v>2905</v>
      </c>
      <c r="S85" s="42" t="s">
        <v>2904</v>
      </c>
      <c r="T85" s="1" t="str">
        <f t="shared" si="2"/>
        <v>α</v>
      </c>
      <c r="U85" s="1" t="str">
        <f t="shared" si="3"/>
        <v>μ</v>
      </c>
      <c r="V85" s="59"/>
      <c r="X85" s="42" t="s">
        <v>3030</v>
      </c>
      <c r="Y85" s="42" t="s">
        <v>639</v>
      </c>
      <c r="AK85" s="67"/>
      <c r="AL85" s="59"/>
      <c r="AU85" s="82"/>
      <c r="BE85" s="85"/>
      <c r="BF85" s="63" t="s">
        <v>2752</v>
      </c>
      <c r="BH85" s="255">
        <f>BH80+BH81+BH82+BH83+BH84</f>
        <v>0</v>
      </c>
      <c r="BJ85" s="63" t="s">
        <v>2752</v>
      </c>
      <c r="BL85" s="255">
        <f>BL80+BL81+BL82+BL83+BL84</f>
        <v>0</v>
      </c>
      <c r="BM85" s="266"/>
      <c r="BN85" s="63" t="s">
        <v>4103</v>
      </c>
      <c r="BO85" s="613">
        <f>LOOKUP(BO80,(BN81:BN84),(BO81:BO84))</f>
        <v>285.32138129718197</v>
      </c>
      <c r="BV85" s="266"/>
      <c r="BW85" s="272"/>
      <c r="BX85" s="39"/>
      <c r="BY85" s="39"/>
      <c r="BZ85" s="39"/>
      <c r="CA85" s="39"/>
      <c r="CB85" s="39"/>
      <c r="CC85" s="39"/>
      <c r="CD85" s="39"/>
      <c r="CE85" s="39"/>
      <c r="CF85" s="39" t="s">
        <v>2777</v>
      </c>
      <c r="CG85" s="39"/>
      <c r="CH85" s="39">
        <f ca="1">CH83+1</f>
        <v>38</v>
      </c>
      <c r="CI85" s="272"/>
      <c r="CJ85" s="39"/>
      <c r="CK85" s="39"/>
      <c r="CL85" s="39"/>
      <c r="CM85" s="39"/>
      <c r="CN85" s="39"/>
      <c r="CO85" s="39"/>
      <c r="CP85" s="39"/>
      <c r="CQ85" s="39"/>
      <c r="CR85" s="39" t="s">
        <v>2777</v>
      </c>
      <c r="CS85" s="39"/>
      <c r="CT85" s="39">
        <f ca="1">CT83+1</f>
        <v>49</v>
      </c>
      <c r="CU85" s="285"/>
      <c r="CX85" s="54"/>
    </row>
    <row r="86" spans="1:102">
      <c r="A86" s="335">
        <v>79</v>
      </c>
      <c r="B86" s="39" t="str">
        <f t="shared" si="12"/>
        <v>α lyr</v>
      </c>
      <c r="C86" s="39" t="str">
        <f t="shared" si="13"/>
        <v>μ 57</v>
      </c>
      <c r="F86" s="27" t="s">
        <v>1879</v>
      </c>
      <c r="G86" s="26"/>
      <c r="H86" s="26"/>
      <c r="I86" s="26"/>
      <c r="J86" s="26"/>
      <c r="K86" s="26"/>
      <c r="L86" s="26"/>
      <c r="M86" s="26" t="s">
        <v>172</v>
      </c>
      <c r="N86" s="26" t="s">
        <v>173</v>
      </c>
      <c r="R86" s="42" t="s">
        <v>2906</v>
      </c>
      <c r="S86" s="42" t="s">
        <v>2907</v>
      </c>
      <c r="T86" s="1" t="str">
        <f t="shared" si="2"/>
        <v>α</v>
      </c>
      <c r="U86" s="1" t="str">
        <f t="shared" si="3"/>
        <v>μ</v>
      </c>
      <c r="V86" s="59"/>
      <c r="X86" s="42" t="s">
        <v>3244</v>
      </c>
      <c r="Y86" s="42" t="s">
        <v>415</v>
      </c>
      <c r="AK86" s="67"/>
      <c r="AL86" s="59"/>
      <c r="AU86" s="82"/>
      <c r="BE86" s="85"/>
      <c r="BF86" s="256">
        <f>BF80+BF81+BF82+BF83</f>
        <v>0</v>
      </c>
      <c r="BJ86" s="256">
        <f>BJ80+BJ81+BJ82+BJ83</f>
        <v>0</v>
      </c>
      <c r="BM86" s="269"/>
      <c r="BN86" s="77" t="s">
        <v>4105</v>
      </c>
      <c r="BO86" s="266"/>
      <c r="BP86" s="266"/>
      <c r="BQ86" s="266"/>
      <c r="BR86" s="266"/>
      <c r="BS86" s="266"/>
      <c r="BT86" s="266"/>
      <c r="BU86" s="266"/>
      <c r="BV86" s="266"/>
      <c r="BW86" s="272"/>
      <c r="BX86" s="39"/>
      <c r="BY86" s="39"/>
      <c r="BZ86" s="39"/>
      <c r="CA86" s="39"/>
      <c r="CB86" s="39"/>
      <c r="CC86" s="39"/>
      <c r="CD86" s="39"/>
      <c r="CE86" s="39"/>
      <c r="CF86" s="39" t="s">
        <v>2776</v>
      </c>
      <c r="CG86" s="39"/>
      <c r="CH86" s="39">
        <f ca="1">IF(CH84&gt;59.999999,CH85,CH83)</f>
        <v>37</v>
      </c>
      <c r="CI86" s="272"/>
      <c r="CJ86" s="39"/>
      <c r="CK86" s="39"/>
      <c r="CL86" s="39"/>
      <c r="CM86" s="39"/>
      <c r="CN86" s="39"/>
      <c r="CO86" s="39"/>
      <c r="CP86" s="39"/>
      <c r="CQ86" s="39"/>
      <c r="CR86" s="39" t="s">
        <v>2776</v>
      </c>
      <c r="CS86" s="39"/>
      <c r="CT86" s="39">
        <f ca="1">IF(CT84&gt;59.999999,CT85,CT83)</f>
        <v>48</v>
      </c>
      <c r="CU86" s="285"/>
      <c r="CX86" s="54"/>
    </row>
    <row r="87" spans="1:102">
      <c r="A87" s="335">
        <v>80</v>
      </c>
      <c r="B87" s="39" t="str">
        <f t="shared" si="12"/>
        <v>α lyr</v>
      </c>
      <c r="C87" s="39" t="str">
        <f t="shared" si="13"/>
        <v>μ 57</v>
      </c>
      <c r="F87" s="25" t="s">
        <v>1880</v>
      </c>
      <c r="G87" s="22">
        <v>18</v>
      </c>
      <c r="H87" s="22">
        <v>35</v>
      </c>
      <c r="I87" s="22">
        <v>12.4</v>
      </c>
      <c r="J87" s="22">
        <v>-8</v>
      </c>
      <c r="K87" s="22">
        <v>-14</v>
      </c>
      <c r="L87" s="22">
        <v>-39</v>
      </c>
      <c r="M87" s="22" t="s">
        <v>174</v>
      </c>
      <c r="N87" s="22" t="s">
        <v>175</v>
      </c>
      <c r="R87" s="42" t="s">
        <v>2908</v>
      </c>
      <c r="S87" s="42" t="s">
        <v>2907</v>
      </c>
      <c r="T87" s="1" t="str">
        <f t="shared" si="2"/>
        <v>α</v>
      </c>
      <c r="U87" s="1" t="str">
        <f t="shared" si="3"/>
        <v>μ</v>
      </c>
      <c r="V87" s="59"/>
      <c r="X87" s="42" t="s">
        <v>3245</v>
      </c>
      <c r="Y87" s="42" t="s">
        <v>415</v>
      </c>
      <c r="AK87" s="67"/>
      <c r="AL87" s="59"/>
      <c r="AU87" s="82"/>
      <c r="BE87" s="85"/>
      <c r="BH87" s="61">
        <f>IF(BF86&gt;1,BH84,BH85)</f>
        <v>0</v>
      </c>
      <c r="BL87" s="61">
        <f>IF(BJ86&gt;1,BL84,BL85)</f>
        <v>0</v>
      </c>
      <c r="BM87" s="266"/>
      <c r="BN87" s="63" t="s">
        <v>3991</v>
      </c>
      <c r="BT87" s="63" t="s">
        <v>3991</v>
      </c>
      <c r="BV87" s="266"/>
      <c r="BW87" s="272"/>
      <c r="BX87" s="39"/>
      <c r="BY87" s="39"/>
      <c r="BZ87" s="39"/>
      <c r="CA87" s="39"/>
      <c r="CB87" s="39"/>
      <c r="CC87" s="39"/>
      <c r="CD87" s="39"/>
      <c r="CE87" s="39"/>
      <c r="CF87" s="39" t="s">
        <v>2764</v>
      </c>
      <c r="CG87" s="39"/>
      <c r="CH87" s="39"/>
      <c r="CI87" s="272"/>
      <c r="CJ87" s="39"/>
      <c r="CK87" s="39"/>
      <c r="CL87" s="39"/>
      <c r="CM87" s="39"/>
      <c r="CN87" s="39"/>
      <c r="CO87" s="39"/>
      <c r="CP87" s="39"/>
      <c r="CQ87" s="39"/>
      <c r="CR87" s="39" t="s">
        <v>2764</v>
      </c>
      <c r="CS87" s="39"/>
      <c r="CT87" s="39"/>
      <c r="CU87" s="285"/>
      <c r="CX87" s="54"/>
    </row>
    <row r="88" spans="1:102">
      <c r="A88" s="335">
        <v>81</v>
      </c>
      <c r="B88" s="39" t="str">
        <f t="shared" si="12"/>
        <v>α lyr</v>
      </c>
      <c r="C88" s="39" t="str">
        <f t="shared" si="13"/>
        <v>μ 57</v>
      </c>
      <c r="F88" s="25" t="s">
        <v>1881</v>
      </c>
      <c r="G88" s="22">
        <v>18</v>
      </c>
      <c r="H88" s="22">
        <v>47</v>
      </c>
      <c r="I88" s="22">
        <v>10.5</v>
      </c>
      <c r="J88" s="22">
        <v>-4</v>
      </c>
      <c r="K88" s="22">
        <v>-44</v>
      </c>
      <c r="L88" s="22">
        <v>-52</v>
      </c>
      <c r="M88" s="22" t="s">
        <v>176</v>
      </c>
      <c r="N88" s="22" t="s">
        <v>177</v>
      </c>
      <c r="R88" s="42" t="s">
        <v>2909</v>
      </c>
      <c r="S88" s="42" t="s">
        <v>2910</v>
      </c>
      <c r="T88" s="1" t="str">
        <f t="shared" si="2"/>
        <v>α</v>
      </c>
      <c r="U88" s="1" t="str">
        <f t="shared" si="3"/>
        <v>μ</v>
      </c>
      <c r="V88" s="59"/>
      <c r="X88" s="42" t="s">
        <v>3246</v>
      </c>
      <c r="Y88" s="42" t="s">
        <v>415</v>
      </c>
      <c r="AK88" s="67"/>
      <c r="AL88" s="59"/>
      <c r="AU88" s="82"/>
      <c r="BE88" s="85"/>
      <c r="BG88" s="69" t="str">
        <f>""</f>
        <v/>
      </c>
      <c r="BH88" s="257">
        <v>0</v>
      </c>
      <c r="BK88" s="69" t="str">
        <f>""</f>
        <v/>
      </c>
      <c r="BL88" s="257">
        <v>0</v>
      </c>
      <c r="BM88" s="266"/>
      <c r="BN88" s="284" t="s">
        <v>3992</v>
      </c>
      <c r="BO88" s="611">
        <f ca="1">BU88</f>
        <v>18.905475245822586</v>
      </c>
      <c r="BQ88" s="612" t="s">
        <v>3993</v>
      </c>
      <c r="BT88" s="284" t="s">
        <v>3992</v>
      </c>
      <c r="BU88" s="613">
        <f ca="1">BU160</f>
        <v>18.905475245822586</v>
      </c>
      <c r="BV88" s="266"/>
      <c r="BW88" s="272"/>
      <c r="BX88" s="39"/>
      <c r="BY88" s="39"/>
      <c r="BZ88" s="39"/>
      <c r="CA88" s="39"/>
      <c r="CB88" s="39"/>
      <c r="CC88" s="39" t="s">
        <v>2778</v>
      </c>
      <c r="CD88" s="39"/>
      <c r="CE88" s="39"/>
      <c r="CF88" s="39"/>
      <c r="CG88" s="39"/>
      <c r="CH88" s="39">
        <f ca="1">IF(CH84&lt;0.000001,0,CH84)</f>
        <v>36.625611642306239</v>
      </c>
      <c r="CI88" s="272"/>
      <c r="CJ88" s="39"/>
      <c r="CK88" s="39"/>
      <c r="CL88" s="39"/>
      <c r="CM88" s="39"/>
      <c r="CN88" s="39"/>
      <c r="CO88" s="39" t="s">
        <v>2778</v>
      </c>
      <c r="CP88" s="39"/>
      <c r="CQ88" s="39"/>
      <c r="CR88" s="39"/>
      <c r="CS88" s="39"/>
      <c r="CT88" s="39">
        <f ca="1">IF(CT84&lt;0.000001,0,CT84)</f>
        <v>5.772530249479928</v>
      </c>
      <c r="CU88" s="285"/>
      <c r="CX88" s="54"/>
    </row>
    <row r="89" spans="1:102">
      <c r="A89" s="335">
        <v>82</v>
      </c>
      <c r="B89" s="39" t="str">
        <f t="shared" si="12"/>
        <v>α lyr</v>
      </c>
      <c r="C89" s="39" t="str">
        <f t="shared" si="13"/>
        <v>μ 57</v>
      </c>
      <c r="F89" s="25" t="s">
        <v>1882</v>
      </c>
      <c r="G89" s="22">
        <v>18</v>
      </c>
      <c r="H89" s="22">
        <v>29</v>
      </c>
      <c r="I89" s="22">
        <v>11.9</v>
      </c>
      <c r="J89" s="22">
        <v>-14</v>
      </c>
      <c r="K89" s="22">
        <v>-33</v>
      </c>
      <c r="L89" s="22">
        <v>-57</v>
      </c>
      <c r="M89" s="22" t="s">
        <v>178</v>
      </c>
      <c r="N89" s="22" t="s">
        <v>179</v>
      </c>
      <c r="R89" s="42" t="s">
        <v>2911</v>
      </c>
      <c r="S89" s="42" t="s">
        <v>2910</v>
      </c>
      <c r="T89" s="1" t="str">
        <f t="shared" si="2"/>
        <v>α</v>
      </c>
      <c r="U89" s="1" t="str">
        <f t="shared" si="3"/>
        <v>μ</v>
      </c>
      <c r="V89" s="59"/>
      <c r="X89" s="42" t="s">
        <v>3104</v>
      </c>
      <c r="Y89" s="42" t="s">
        <v>415</v>
      </c>
      <c r="AK89" s="67"/>
      <c r="AL89" s="59"/>
      <c r="AU89" s="82"/>
      <c r="BE89" s="85"/>
      <c r="BG89" s="258" t="s">
        <v>2744</v>
      </c>
      <c r="BH89" s="259">
        <v>1</v>
      </c>
      <c r="BK89" s="258" t="s">
        <v>2744</v>
      </c>
      <c r="BL89" s="259">
        <v>1</v>
      </c>
      <c r="BM89" s="266"/>
      <c r="BN89" s="284" t="s">
        <v>3994</v>
      </c>
      <c r="BO89" s="611">
        <f ca="1">BU89</f>
        <v>33.055085809563394</v>
      </c>
      <c r="BQ89" s="63" t="s">
        <v>2665</v>
      </c>
      <c r="BT89" s="284" t="s">
        <v>3994</v>
      </c>
      <c r="BU89" s="613">
        <f ca="1">BU110</f>
        <v>33.055085809563394</v>
      </c>
      <c r="BV89" s="266"/>
      <c r="BW89" s="272"/>
      <c r="BX89" s="39"/>
      <c r="BY89" s="39"/>
      <c r="BZ89" s="39"/>
      <c r="CA89" s="39"/>
      <c r="CB89" s="39"/>
      <c r="CC89" s="39" t="s">
        <v>2779</v>
      </c>
      <c r="CD89" s="39"/>
      <c r="CE89" s="39"/>
      <c r="CF89" s="39"/>
      <c r="CG89" s="39"/>
      <c r="CH89" s="39">
        <f ca="1">IF(CH88&gt;59.999999,0,CH88)</f>
        <v>36.625611642306239</v>
      </c>
      <c r="CI89" s="272"/>
      <c r="CJ89" s="39"/>
      <c r="CK89" s="39"/>
      <c r="CL89" s="39"/>
      <c r="CM89" s="39"/>
      <c r="CN89" s="39"/>
      <c r="CO89" s="39" t="s">
        <v>2779</v>
      </c>
      <c r="CP89" s="39"/>
      <c r="CQ89" s="39"/>
      <c r="CR89" s="39"/>
      <c r="CS89" s="39"/>
      <c r="CT89" s="39">
        <f ca="1">IF(CT88&gt;59.999999,0,CT88)</f>
        <v>5.772530249479928</v>
      </c>
      <c r="CU89" s="285"/>
      <c r="CX89" s="54"/>
    </row>
    <row r="90" spans="1:102">
      <c r="A90" s="335">
        <v>83</v>
      </c>
      <c r="B90" s="39" t="str">
        <f t="shared" si="12"/>
        <v>α lyr</v>
      </c>
      <c r="C90" s="39" t="str">
        <f t="shared" si="13"/>
        <v>μ 57</v>
      </c>
      <c r="F90" s="32" t="s">
        <v>1883</v>
      </c>
      <c r="G90" s="31"/>
      <c r="H90" s="31"/>
      <c r="I90" s="31"/>
      <c r="J90" s="31"/>
      <c r="K90" s="31"/>
      <c r="L90" s="31"/>
      <c r="M90" s="31" t="s">
        <v>180</v>
      </c>
      <c r="N90" s="31" t="s">
        <v>181</v>
      </c>
      <c r="R90" s="42" t="s">
        <v>2912</v>
      </c>
      <c r="S90" s="42" t="s">
        <v>2910</v>
      </c>
      <c r="T90" s="1" t="str">
        <f t="shared" si="2"/>
        <v>α</v>
      </c>
      <c r="U90" s="1" t="str">
        <f t="shared" si="3"/>
        <v>μ</v>
      </c>
      <c r="V90" s="59"/>
      <c r="X90" s="42" t="s">
        <v>3247</v>
      </c>
      <c r="Y90" s="42" t="s">
        <v>423</v>
      </c>
      <c r="AK90" s="67"/>
      <c r="AL90" s="59"/>
      <c r="AU90" s="82"/>
      <c r="BE90" s="85"/>
      <c r="BG90" s="258" t="s">
        <v>2745</v>
      </c>
      <c r="BH90" s="259">
        <v>2</v>
      </c>
      <c r="BK90" s="258" t="s">
        <v>2745</v>
      </c>
      <c r="BL90" s="259">
        <v>2</v>
      </c>
      <c r="BM90" s="266"/>
      <c r="BN90" s="63" t="s">
        <v>3995</v>
      </c>
      <c r="BQ90" s="69" t="s">
        <v>2762</v>
      </c>
      <c r="BR90" s="61">
        <f ca="1">BO91</f>
        <v>2020</v>
      </c>
      <c r="BV90" s="266"/>
      <c r="BW90" s="272"/>
      <c r="BX90" s="39"/>
      <c r="CA90" s="39"/>
      <c r="CB90" s="39"/>
      <c r="CC90" s="39"/>
      <c r="CD90" s="39"/>
      <c r="CE90" s="39"/>
      <c r="CF90" s="39" t="s">
        <v>2780</v>
      </c>
      <c r="CG90" s="39"/>
      <c r="CH90" s="274">
        <f ca="1">CD81</f>
        <v>18</v>
      </c>
      <c r="CI90" s="272"/>
      <c r="CJ90" s="39"/>
      <c r="CK90" s="39"/>
      <c r="CL90" s="39"/>
      <c r="CM90" s="39"/>
      <c r="CN90" s="39"/>
      <c r="CO90" s="39"/>
      <c r="CP90" s="39"/>
      <c r="CQ90" s="39"/>
      <c r="CR90" s="39" t="s">
        <v>2780</v>
      </c>
      <c r="CS90" s="39"/>
      <c r="CT90" s="274">
        <f ca="1">CP81</f>
        <v>38</v>
      </c>
      <c r="CU90" s="285"/>
      <c r="CX90" s="54"/>
    </row>
    <row r="91" spans="1:102">
      <c r="A91" s="335">
        <v>84</v>
      </c>
      <c r="B91" s="39" t="str">
        <f t="shared" si="12"/>
        <v>α lyr</v>
      </c>
      <c r="C91" s="39" t="str">
        <f t="shared" si="13"/>
        <v>μ 57</v>
      </c>
      <c r="F91" s="41" t="s">
        <v>3399</v>
      </c>
      <c r="G91" s="33">
        <v>5</v>
      </c>
      <c r="H91" s="33">
        <v>5</v>
      </c>
      <c r="I91" s="33">
        <v>34.299999999999997</v>
      </c>
      <c r="J91" s="33">
        <v>10</v>
      </c>
      <c r="K91" s="33">
        <v>42</v>
      </c>
      <c r="L91" s="33">
        <v>23</v>
      </c>
      <c r="M91" s="33" t="s">
        <v>182</v>
      </c>
      <c r="N91" s="34" t="s">
        <v>183</v>
      </c>
      <c r="R91" s="42" t="s">
        <v>2913</v>
      </c>
      <c r="S91" s="42" t="s">
        <v>2914</v>
      </c>
      <c r="T91" s="1" t="str">
        <f t="shared" si="2"/>
        <v>α</v>
      </c>
      <c r="U91" s="1" t="str">
        <f t="shared" si="3"/>
        <v>μ</v>
      </c>
      <c r="V91" s="59"/>
      <c r="X91" s="42" t="s">
        <v>3231</v>
      </c>
      <c r="Y91" s="42" t="s">
        <v>423</v>
      </c>
      <c r="AK91" s="67"/>
      <c r="AL91" s="59"/>
      <c r="AU91" s="82"/>
      <c r="BE91" s="85"/>
      <c r="BG91" s="258" t="s">
        <v>2746</v>
      </c>
      <c r="BH91" s="259">
        <v>3</v>
      </c>
      <c r="BK91" s="258" t="s">
        <v>2747</v>
      </c>
      <c r="BL91" s="259">
        <v>3</v>
      </c>
      <c r="BM91" s="266"/>
      <c r="BN91" s="69" t="s">
        <v>2762</v>
      </c>
      <c r="BO91" s="61">
        <f ca="1">BO12</f>
        <v>2020</v>
      </c>
      <c r="BQ91" s="614" t="s">
        <v>3996</v>
      </c>
      <c r="BR91" s="259"/>
      <c r="BV91" s="266"/>
      <c r="BW91" s="272"/>
      <c r="BX91" s="39"/>
      <c r="CA91" s="39"/>
      <c r="CB91" s="39"/>
      <c r="CC91" s="39"/>
      <c r="CD91" s="39"/>
      <c r="CE91" s="39"/>
      <c r="CF91" s="39" t="s">
        <v>10</v>
      </c>
      <c r="CG91" s="39"/>
      <c r="CH91" s="274">
        <f ca="1">CH86</f>
        <v>37</v>
      </c>
      <c r="CI91" s="272"/>
      <c r="CJ91" s="39"/>
      <c r="CK91" s="39"/>
      <c r="CL91" s="39"/>
      <c r="CM91" s="39"/>
      <c r="CN91" s="39"/>
      <c r="CO91" s="39"/>
      <c r="CP91" s="39"/>
      <c r="CQ91" s="39"/>
      <c r="CR91" s="39" t="s">
        <v>10</v>
      </c>
      <c r="CS91" s="39"/>
      <c r="CT91" s="274">
        <f ca="1">CT86</f>
        <v>48</v>
      </c>
      <c r="CU91" s="285"/>
      <c r="CX91" s="54"/>
    </row>
    <row r="92" spans="1:102">
      <c r="A92" s="335">
        <v>85</v>
      </c>
      <c r="B92" s="39" t="str">
        <f t="shared" si="12"/>
        <v>α lyr</v>
      </c>
      <c r="C92" s="39" t="str">
        <f t="shared" si="13"/>
        <v>μ 57</v>
      </c>
      <c r="F92" s="27" t="s">
        <v>2687</v>
      </c>
      <c r="G92" s="26"/>
      <c r="H92" s="26"/>
      <c r="I92" s="26"/>
      <c r="J92" s="26"/>
      <c r="K92" s="26"/>
      <c r="L92" s="26"/>
      <c r="M92" s="26" t="s">
        <v>184</v>
      </c>
      <c r="N92" s="26" t="s">
        <v>3098</v>
      </c>
      <c r="R92" s="42" t="s">
        <v>2915</v>
      </c>
      <c r="S92" s="42" t="s">
        <v>2914</v>
      </c>
      <c r="T92" s="1" t="str">
        <f t="shared" si="2"/>
        <v>α</v>
      </c>
      <c r="U92" s="1" t="str">
        <f t="shared" si="3"/>
        <v>μ</v>
      </c>
      <c r="V92" s="59"/>
      <c r="X92" s="42" t="s">
        <v>3248</v>
      </c>
      <c r="Y92" s="42" t="s">
        <v>425</v>
      </c>
      <c r="AK92" s="67"/>
      <c r="AL92" s="59"/>
      <c r="AU92" s="82"/>
      <c r="BE92" s="85"/>
      <c r="BG92" s="258" t="s">
        <v>2748</v>
      </c>
      <c r="BH92" s="259">
        <v>4</v>
      </c>
      <c r="BK92" s="258" t="s">
        <v>2749</v>
      </c>
      <c r="BL92" s="259">
        <v>4</v>
      </c>
      <c r="BM92" s="266"/>
      <c r="BN92" s="42" t="s">
        <v>3997</v>
      </c>
      <c r="BO92" s="61">
        <f>BF74</f>
        <v>18.893083333333333</v>
      </c>
      <c r="BQ92" s="42" t="s">
        <v>3998</v>
      </c>
      <c r="BR92" s="61">
        <f>BO98</f>
        <v>290.08190459617072</v>
      </c>
      <c r="BT92" s="63" t="s">
        <v>4001</v>
      </c>
      <c r="BV92" s="266"/>
      <c r="BW92" s="272"/>
      <c r="BX92" s="39"/>
      <c r="CA92" s="39"/>
      <c r="CB92" s="39"/>
      <c r="CC92" s="39"/>
      <c r="CD92" s="39"/>
      <c r="CE92" s="39"/>
      <c r="CF92" s="39" t="s">
        <v>2731</v>
      </c>
      <c r="CG92" s="39"/>
      <c r="CH92" s="274">
        <f ca="1">CH89</f>
        <v>36.625611642306239</v>
      </c>
      <c r="CI92" s="272"/>
      <c r="CJ92" s="39"/>
      <c r="CK92" s="39"/>
      <c r="CL92" s="39"/>
      <c r="CM92" s="39"/>
      <c r="CN92" s="39"/>
      <c r="CO92" s="39"/>
      <c r="CP92" s="39"/>
      <c r="CQ92" s="39"/>
      <c r="CR92" s="39" t="s">
        <v>2731</v>
      </c>
      <c r="CS92" s="39"/>
      <c r="CT92" s="274">
        <f ca="1">CT89</f>
        <v>5.772530249479928</v>
      </c>
      <c r="CU92" s="285"/>
      <c r="CX92" s="54"/>
    </row>
    <row r="93" spans="1:102">
      <c r="A93" s="335">
        <v>86</v>
      </c>
      <c r="B93" s="39" t="str">
        <f t="shared" si="12"/>
        <v>α lyr</v>
      </c>
      <c r="C93" s="39" t="str">
        <f t="shared" si="13"/>
        <v>μ 57</v>
      </c>
      <c r="F93" s="25" t="s">
        <v>1884</v>
      </c>
      <c r="G93" s="22">
        <v>19</v>
      </c>
      <c r="H93" s="22">
        <v>40</v>
      </c>
      <c r="I93" s="22">
        <v>5.8</v>
      </c>
      <c r="J93" s="22">
        <v>18</v>
      </c>
      <c r="K93" s="22">
        <v>0</v>
      </c>
      <c r="L93" s="22">
        <v>50</v>
      </c>
      <c r="M93" s="22" t="s">
        <v>185</v>
      </c>
      <c r="N93" s="22" t="s">
        <v>3852</v>
      </c>
      <c r="R93" s="42" t="s">
        <v>2916</v>
      </c>
      <c r="S93" s="42" t="s">
        <v>2917</v>
      </c>
      <c r="T93" s="1" t="str">
        <f t="shared" si="2"/>
        <v>α</v>
      </c>
      <c r="U93" s="1" t="str">
        <f t="shared" si="3"/>
        <v>μ</v>
      </c>
      <c r="V93" s="59"/>
      <c r="X93" s="42" t="s">
        <v>3183</v>
      </c>
      <c r="Y93" s="42" t="s">
        <v>425</v>
      </c>
      <c r="AK93" s="94"/>
      <c r="AL93" s="59"/>
      <c r="AU93" s="82"/>
      <c r="BE93" s="85"/>
      <c r="BF93" s="63" t="s">
        <v>2753</v>
      </c>
      <c r="BG93" s="260" t="s">
        <v>2751</v>
      </c>
      <c r="BH93" s="197">
        <v>5</v>
      </c>
      <c r="BJ93" s="63" t="s">
        <v>2753</v>
      </c>
      <c r="BK93" s="260" t="s">
        <v>2751</v>
      </c>
      <c r="BL93" s="197">
        <v>5</v>
      </c>
      <c r="BM93" s="266"/>
      <c r="BN93" s="70" t="s">
        <v>3999</v>
      </c>
      <c r="BO93" s="61">
        <f>BJ74</f>
        <v>33.029166666666669</v>
      </c>
      <c r="BQ93" s="191" t="s">
        <v>4000</v>
      </c>
      <c r="BR93" s="61">
        <f>BO99</f>
        <v>55.548682644571834</v>
      </c>
      <c r="BT93" s="615" t="s">
        <v>4002</v>
      </c>
      <c r="BU93" s="61">
        <f ca="1">BR103</f>
        <v>290.36112681839296</v>
      </c>
      <c r="BV93" s="266"/>
      <c r="BW93" s="272"/>
      <c r="BX93" s="39"/>
      <c r="CA93" s="39"/>
      <c r="CB93" s="39"/>
      <c r="CC93" s="39"/>
      <c r="CD93" s="39"/>
      <c r="CE93" s="39"/>
      <c r="CF93" s="39" t="s">
        <v>2781</v>
      </c>
      <c r="CG93" s="39"/>
      <c r="CH93" s="39"/>
      <c r="CI93" s="272"/>
      <c r="CJ93" s="39"/>
      <c r="CK93" s="39"/>
      <c r="CL93" s="39"/>
      <c r="CM93" s="39"/>
      <c r="CN93" s="39"/>
      <c r="CO93" s="39"/>
      <c r="CP93" s="39"/>
      <c r="CQ93" s="39"/>
      <c r="CR93" s="39" t="s">
        <v>2781</v>
      </c>
      <c r="CS93" s="39"/>
      <c r="CT93" s="39"/>
      <c r="CU93" s="285"/>
      <c r="CX93" s="54"/>
    </row>
    <row r="94" spans="1:102">
      <c r="A94" s="335">
        <v>87</v>
      </c>
      <c r="B94" s="39" t="str">
        <f t="shared" si="12"/>
        <v>α lyr</v>
      </c>
      <c r="C94" s="39" t="str">
        <f t="shared" si="13"/>
        <v>μ 57</v>
      </c>
      <c r="F94" s="25" t="s">
        <v>1885</v>
      </c>
      <c r="G94" s="22">
        <v>19</v>
      </c>
      <c r="H94" s="22">
        <v>41</v>
      </c>
      <c r="I94" s="22">
        <v>2.9</v>
      </c>
      <c r="J94" s="22">
        <v>17</v>
      </c>
      <c r="K94" s="22">
        <v>28</v>
      </c>
      <c r="L94" s="22">
        <v>34</v>
      </c>
      <c r="M94" s="22" t="s">
        <v>186</v>
      </c>
      <c r="N94" s="22" t="s">
        <v>3853</v>
      </c>
      <c r="R94" s="42" t="s">
        <v>2918</v>
      </c>
      <c r="S94" s="42" t="s">
        <v>2917</v>
      </c>
      <c r="T94" s="1" t="str">
        <f t="shared" si="2"/>
        <v>α</v>
      </c>
      <c r="U94" s="1" t="str">
        <f t="shared" si="3"/>
        <v>μ</v>
      </c>
      <c r="V94" s="59"/>
      <c r="X94" s="42" t="s">
        <v>3249</v>
      </c>
      <c r="Y94" s="42" t="s">
        <v>425</v>
      </c>
      <c r="AK94" s="67"/>
      <c r="AL94" s="59"/>
      <c r="AU94" s="82"/>
      <c r="BE94" s="85"/>
      <c r="BF94" s="88" t="str">
        <f>IF(BF86=0,"",BG94)</f>
        <v/>
      </c>
      <c r="BG94" s="1" t="s">
        <v>2754</v>
      </c>
      <c r="BJ94" s="88" t="str">
        <f>IF(BJ86=0,"",BK94)</f>
        <v/>
      </c>
      <c r="BK94" s="1" t="s">
        <v>2758</v>
      </c>
      <c r="BM94" s="266"/>
      <c r="BO94" s="1" t="s">
        <v>2763</v>
      </c>
      <c r="BT94" s="617" t="s">
        <v>4004</v>
      </c>
      <c r="BU94" s="61">
        <f>BR104</f>
        <v>55.548682644571834</v>
      </c>
      <c r="BV94" s="266"/>
      <c r="BW94" s="272"/>
      <c r="BX94" s="39"/>
      <c r="CA94" s="39"/>
      <c r="CB94" s="39"/>
      <c r="CC94" s="39"/>
      <c r="CD94" s="39"/>
      <c r="CE94" s="39"/>
      <c r="CF94" s="39"/>
      <c r="CG94" s="39"/>
      <c r="CH94" s="282">
        <f ca="1">CH90*-1</f>
        <v>-18</v>
      </c>
      <c r="CI94" s="272"/>
      <c r="CJ94" s="39"/>
      <c r="CK94" s="39"/>
      <c r="CL94" s="39"/>
      <c r="CM94" s="39"/>
      <c r="CN94" s="39"/>
      <c r="CO94" s="39"/>
      <c r="CP94" s="39"/>
      <c r="CQ94" s="39"/>
      <c r="CR94" s="39"/>
      <c r="CS94" s="39"/>
      <c r="CT94" s="282">
        <f ca="1">CT90*-1</f>
        <v>-38</v>
      </c>
      <c r="CU94" s="285"/>
      <c r="CX94" s="54"/>
    </row>
    <row r="95" spans="1:102">
      <c r="A95" s="335">
        <v>88</v>
      </c>
      <c r="B95" s="39" t="str">
        <f t="shared" si="12"/>
        <v>α lyr</v>
      </c>
      <c r="C95" s="39" t="str">
        <f t="shared" si="13"/>
        <v>μ 57</v>
      </c>
      <c r="F95" s="25" t="s">
        <v>1886</v>
      </c>
      <c r="G95" s="22">
        <v>19</v>
      </c>
      <c r="H95" s="22">
        <v>58</v>
      </c>
      <c r="I95" s="22">
        <v>45.4</v>
      </c>
      <c r="J95" s="22">
        <v>19</v>
      </c>
      <c r="K95" s="22">
        <v>29</v>
      </c>
      <c r="L95" s="22">
        <v>32</v>
      </c>
      <c r="M95" s="22" t="s">
        <v>187</v>
      </c>
      <c r="N95" s="22" t="s">
        <v>3854</v>
      </c>
      <c r="R95" s="42" t="s">
        <v>2919</v>
      </c>
      <c r="S95" s="42" t="s">
        <v>2920</v>
      </c>
      <c r="T95" s="1" t="str">
        <f t="shared" si="2"/>
        <v>α</v>
      </c>
      <c r="U95" s="1" t="str">
        <f t="shared" si="3"/>
        <v>μ</v>
      </c>
      <c r="V95" s="59"/>
      <c r="X95" s="42" t="s">
        <v>3250</v>
      </c>
      <c r="Y95" s="42" t="s">
        <v>425</v>
      </c>
      <c r="AK95" s="67"/>
      <c r="AL95" s="59"/>
      <c r="AU95" s="82"/>
      <c r="BE95" s="85"/>
      <c r="BF95" s="88" t="str">
        <f>LOOKUP(BH87,(BH88:BH93),(BG88:BG93))</f>
        <v/>
      </c>
      <c r="BJ95" s="88" t="str">
        <f>LOOKUP(BL87,(BL88:BL93),(BK88:BK93))</f>
        <v/>
      </c>
      <c r="BM95" s="266"/>
      <c r="BQ95" s="616" t="s">
        <v>4003</v>
      </c>
      <c r="BR95" s="1">
        <v>50.26</v>
      </c>
      <c r="BU95" s="1" t="s">
        <v>2763</v>
      </c>
      <c r="BV95" s="266"/>
      <c r="BW95" s="272"/>
      <c r="BX95" s="39"/>
      <c r="CA95" s="39"/>
      <c r="CB95" s="39"/>
      <c r="CC95" s="39"/>
      <c r="CD95" s="39"/>
      <c r="CE95" s="39"/>
      <c r="CF95" s="39"/>
      <c r="CG95" s="39"/>
      <c r="CH95" s="282">
        <f ca="1">CH91*-1</f>
        <v>-37</v>
      </c>
      <c r="CI95" s="272"/>
      <c r="CJ95" s="39"/>
      <c r="CK95" s="39"/>
      <c r="CL95" s="39"/>
      <c r="CM95" s="39"/>
      <c r="CN95" s="39"/>
      <c r="CO95" s="39"/>
      <c r="CP95" s="39"/>
      <c r="CQ95" s="39"/>
      <c r="CR95" s="39"/>
      <c r="CS95" s="39"/>
      <c r="CT95" s="282">
        <f ca="1">CT91*-1</f>
        <v>-48</v>
      </c>
      <c r="CU95" s="285"/>
      <c r="CX95" s="54"/>
    </row>
    <row r="96" spans="1:102">
      <c r="A96" s="335">
        <v>89</v>
      </c>
      <c r="B96" s="39" t="str">
        <f t="shared" si="12"/>
        <v>α lyr</v>
      </c>
      <c r="C96" s="39" t="str">
        <f t="shared" si="13"/>
        <v>μ 57</v>
      </c>
      <c r="F96" s="25" t="s">
        <v>1887</v>
      </c>
      <c r="G96" s="22">
        <v>19</v>
      </c>
      <c r="H96" s="22">
        <v>47</v>
      </c>
      <c r="I96" s="22">
        <v>23.3</v>
      </c>
      <c r="J96" s="22">
        <v>18</v>
      </c>
      <c r="K96" s="22">
        <v>32</v>
      </c>
      <c r="L96" s="22">
        <v>3</v>
      </c>
      <c r="M96" s="22" t="s">
        <v>188</v>
      </c>
      <c r="N96" s="22" t="s">
        <v>3855</v>
      </c>
      <c r="R96" s="42" t="s">
        <v>2921</v>
      </c>
      <c r="S96" s="42" t="s">
        <v>2920</v>
      </c>
      <c r="T96" s="1" t="str">
        <f t="shared" si="2"/>
        <v>α</v>
      </c>
      <c r="U96" s="1" t="str">
        <f t="shared" si="3"/>
        <v>μ</v>
      </c>
      <c r="V96" s="59"/>
      <c r="X96" s="42" t="s">
        <v>3251</v>
      </c>
      <c r="Y96" s="42" t="s">
        <v>467</v>
      </c>
      <c r="AK96" s="67"/>
      <c r="AL96" s="59"/>
      <c r="AU96" s="82"/>
      <c r="BE96" s="85"/>
      <c r="BM96" s="266"/>
      <c r="BQ96" s="616" t="s">
        <v>4005</v>
      </c>
      <c r="BR96" s="1">
        <v>1296000</v>
      </c>
      <c r="BT96" s="1" t="s">
        <v>4007</v>
      </c>
      <c r="BU96" s="371">
        <v>23.45</v>
      </c>
      <c r="BV96" s="266"/>
      <c r="BW96" s="270"/>
      <c r="BX96" s="39"/>
      <c r="BY96" s="39"/>
      <c r="BZ96" s="39"/>
      <c r="CA96" s="39"/>
      <c r="CB96" s="39"/>
      <c r="CC96" s="39"/>
      <c r="CD96" s="39"/>
      <c r="CE96" s="39"/>
      <c r="CF96" s="39"/>
      <c r="CG96" s="39"/>
      <c r="CH96" s="282">
        <f ca="1">CH92*-1</f>
        <v>-36.625611642306239</v>
      </c>
      <c r="CI96" s="270"/>
      <c r="CJ96" s="39"/>
      <c r="CK96" s="39"/>
      <c r="CL96" s="39"/>
      <c r="CM96" s="39"/>
      <c r="CN96" s="39"/>
      <c r="CO96" s="39"/>
      <c r="CP96" s="39"/>
      <c r="CQ96" s="39"/>
      <c r="CR96" s="39"/>
      <c r="CS96" s="39"/>
      <c r="CT96" s="282">
        <f ca="1">CT92*-1</f>
        <v>-5.772530249479928</v>
      </c>
      <c r="CU96" s="54"/>
      <c r="CX96" s="54"/>
    </row>
    <row r="97" spans="1:102">
      <c r="A97" s="335">
        <v>90</v>
      </c>
      <c r="B97" s="39" t="str">
        <f t="shared" si="12"/>
        <v>α lyr</v>
      </c>
      <c r="C97" s="39" t="str">
        <f t="shared" si="13"/>
        <v>μ 57</v>
      </c>
      <c r="F97" s="27" t="s">
        <v>190</v>
      </c>
      <c r="G97" s="26"/>
      <c r="H97" s="26"/>
      <c r="I97" s="26"/>
      <c r="J97" s="26"/>
      <c r="K97" s="26"/>
      <c r="L97" s="26"/>
      <c r="M97" s="26" t="s">
        <v>189</v>
      </c>
      <c r="N97" s="26" t="s">
        <v>190</v>
      </c>
      <c r="R97" s="42" t="s">
        <v>2922</v>
      </c>
      <c r="S97" s="42" t="s">
        <v>2920</v>
      </c>
      <c r="T97" s="1" t="str">
        <f t="shared" si="2"/>
        <v>α</v>
      </c>
      <c r="U97" s="1" t="str">
        <f t="shared" si="3"/>
        <v>μ</v>
      </c>
      <c r="V97" s="59"/>
      <c r="X97" s="42" t="s">
        <v>3252</v>
      </c>
      <c r="Y97" s="42" t="s">
        <v>467</v>
      </c>
      <c r="AK97" s="67"/>
      <c r="AL97" s="59"/>
      <c r="AU97" s="82"/>
      <c r="BE97" s="85"/>
      <c r="BM97" s="266"/>
      <c r="BQ97" s="1" t="s">
        <v>4006</v>
      </c>
      <c r="BR97" s="1">
        <f ca="1">BR90-2000</f>
        <v>20</v>
      </c>
      <c r="BT97" s="1" t="s">
        <v>4010</v>
      </c>
      <c r="BU97" s="444">
        <v>0.39794863130761038</v>
      </c>
      <c r="BV97" s="266"/>
      <c r="BW97" s="273" t="s">
        <v>2782</v>
      </c>
      <c r="BX97" s="272"/>
      <c r="BY97" s="272"/>
      <c r="BZ97" s="272"/>
      <c r="CA97" s="272"/>
      <c r="CB97" s="272"/>
      <c r="CC97" s="272"/>
      <c r="CD97" s="272"/>
      <c r="CE97" s="272"/>
      <c r="CF97" s="272"/>
      <c r="CG97" s="272"/>
      <c r="CH97" s="272"/>
      <c r="CI97" s="273" t="s">
        <v>2783</v>
      </c>
      <c r="CJ97" s="272"/>
      <c r="CK97" s="272"/>
      <c r="CL97" s="272"/>
      <c r="CM97" s="272"/>
      <c r="CN97" s="272"/>
      <c r="CO97" s="272"/>
      <c r="CP97" s="272"/>
      <c r="CQ97" s="272"/>
      <c r="CR97" s="272"/>
      <c r="CS97" s="272"/>
      <c r="CT97" s="272"/>
      <c r="CU97" s="54"/>
      <c r="CX97" s="54"/>
    </row>
    <row r="98" spans="1:102">
      <c r="A98" s="335">
        <v>91</v>
      </c>
      <c r="B98" s="39" t="str">
        <f t="shared" si="12"/>
        <v>α lyr</v>
      </c>
      <c r="C98" s="39" t="str">
        <f t="shared" si="13"/>
        <v>μ 57</v>
      </c>
      <c r="F98" s="25" t="s">
        <v>1888</v>
      </c>
      <c r="G98" s="22">
        <v>15</v>
      </c>
      <c r="H98" s="22">
        <v>3</v>
      </c>
      <c r="I98" s="22">
        <v>47.3</v>
      </c>
      <c r="J98" s="22">
        <v>47</v>
      </c>
      <c r="K98" s="22">
        <v>39</v>
      </c>
      <c r="L98" s="22">
        <v>15</v>
      </c>
      <c r="M98" s="22" t="s">
        <v>191</v>
      </c>
      <c r="N98" s="22" t="s">
        <v>192</v>
      </c>
      <c r="R98" s="42" t="s">
        <v>2923</v>
      </c>
      <c r="S98" s="42" t="s">
        <v>2924</v>
      </c>
      <c r="T98" s="1" t="str">
        <f t="shared" si="2"/>
        <v>α</v>
      </c>
      <c r="U98" s="1" t="str">
        <f t="shared" si="3"/>
        <v>μ</v>
      </c>
      <c r="V98" s="59"/>
      <c r="X98" s="42" t="s">
        <v>3253</v>
      </c>
      <c r="Y98" s="42" t="s">
        <v>467</v>
      </c>
      <c r="AK98" s="67"/>
      <c r="AL98" s="59"/>
      <c r="AU98" s="82"/>
      <c r="BE98" s="85"/>
      <c r="BG98" s="63" t="s">
        <v>4107</v>
      </c>
      <c r="BH98" s="644">
        <f>BF86+BJ86+BF43+BJ43</f>
        <v>0</v>
      </c>
      <c r="BM98" s="266"/>
      <c r="BN98" s="284" t="s">
        <v>4008</v>
      </c>
      <c r="BO98" s="613">
        <f>BO164</f>
        <v>290.08190459617072</v>
      </c>
      <c r="BQ98" s="1" t="s">
        <v>4009</v>
      </c>
      <c r="BR98" s="1">
        <f ca="1">BR97*BR95</f>
        <v>1005.1999999999999</v>
      </c>
      <c r="BT98" s="1" t="s">
        <v>4013</v>
      </c>
      <c r="BU98" s="444">
        <v>0.91740769935748823</v>
      </c>
      <c r="BV98" s="266"/>
      <c r="BW98" s="272"/>
      <c r="BX98" s="39"/>
      <c r="BY98" s="39" t="s">
        <v>2679</v>
      </c>
      <c r="BZ98" s="39" t="b">
        <f ca="1">ISNUMBER(BX105)</f>
        <v>1</v>
      </c>
      <c r="CA98" s="39"/>
      <c r="CB98" s="39" t="s">
        <v>2665</v>
      </c>
      <c r="CC98" s="68">
        <f ca="1">BZ103</f>
        <v>18.905475245822586</v>
      </c>
      <c r="CD98" s="39"/>
      <c r="CE98" s="39"/>
      <c r="CF98" s="39" t="s">
        <v>2665</v>
      </c>
      <c r="CG98" s="68">
        <f ca="1">CE122</f>
        <v>54.328514749355179</v>
      </c>
      <c r="CH98" s="39"/>
      <c r="CI98" s="272"/>
      <c r="CJ98" s="39"/>
      <c r="CK98" s="39" t="s">
        <v>2679</v>
      </c>
      <c r="CL98" s="39" t="b">
        <f ca="1">ISNUMBER(CJ105)</f>
        <v>1</v>
      </c>
      <c r="CM98" s="39"/>
      <c r="CN98" s="39" t="s">
        <v>2665</v>
      </c>
      <c r="CO98" s="68">
        <f ca="1">CL103</f>
        <v>33.055085809563394</v>
      </c>
      <c r="CP98" s="39"/>
      <c r="CQ98" s="39"/>
      <c r="CR98" s="39" t="s">
        <v>2665</v>
      </c>
      <c r="CS98" s="68">
        <f ca="1">CQ122</f>
        <v>3.305148573803649</v>
      </c>
      <c r="CT98" s="39"/>
      <c r="CU98" s="285"/>
      <c r="CX98" s="54"/>
    </row>
    <row r="99" spans="1:102">
      <c r="A99" s="335">
        <v>92</v>
      </c>
      <c r="B99" s="39" t="str">
        <f t="shared" si="12"/>
        <v>α lyr</v>
      </c>
      <c r="C99" s="39" t="str">
        <f t="shared" si="13"/>
        <v>μ 57</v>
      </c>
      <c r="F99" s="25" t="s">
        <v>194</v>
      </c>
      <c r="G99" s="22">
        <v>14</v>
      </c>
      <c r="H99" s="22">
        <v>15</v>
      </c>
      <c r="I99" s="22">
        <v>39.700000000000003</v>
      </c>
      <c r="J99" s="22">
        <v>19</v>
      </c>
      <c r="K99" s="22">
        <v>10</v>
      </c>
      <c r="L99" s="22">
        <v>57</v>
      </c>
      <c r="M99" s="22" t="s">
        <v>193</v>
      </c>
      <c r="N99" s="22" t="s">
        <v>194</v>
      </c>
      <c r="R99" s="42" t="s">
        <v>2925</v>
      </c>
      <c r="S99" s="42" t="s">
        <v>2924</v>
      </c>
      <c r="T99" s="1" t="str">
        <f t="shared" si="2"/>
        <v>α</v>
      </c>
      <c r="U99" s="1" t="str">
        <f t="shared" si="3"/>
        <v>μ</v>
      </c>
      <c r="V99" s="59"/>
      <c r="X99" s="42" t="s">
        <v>466</v>
      </c>
      <c r="Y99" s="42" t="s">
        <v>467</v>
      </c>
      <c r="AK99" s="67"/>
      <c r="AL99" s="59"/>
      <c r="AU99" s="82"/>
      <c r="BE99" s="85"/>
      <c r="BM99" s="266"/>
      <c r="BN99" s="284" t="s">
        <v>4011</v>
      </c>
      <c r="BO99" s="613">
        <f>BO119</f>
        <v>55.548682644571834</v>
      </c>
      <c r="BQ99" s="1" t="s">
        <v>4012</v>
      </c>
      <c r="BR99" s="1">
        <f ca="1">BR98/3600</f>
        <v>0.27922222222222221</v>
      </c>
      <c r="BU99" s="62"/>
      <c r="BV99" s="266"/>
      <c r="BW99" s="272"/>
      <c r="BX99" s="39"/>
      <c r="BY99" s="39" t="b">
        <v>0</v>
      </c>
      <c r="BZ99" s="274">
        <f ca="1">IF(BZ98=BY99,0,BX105)</f>
        <v>18.905475245822586</v>
      </c>
      <c r="CA99" s="39"/>
      <c r="CB99" s="39">
        <v>90</v>
      </c>
      <c r="CC99" s="39">
        <f ca="1">IF(CB99&gt;CC98,CC98,-1)</f>
        <v>18.905475245822586</v>
      </c>
      <c r="CD99" s="39">
        <f ca="1">IF(CC99=-1,10,0)</f>
        <v>0</v>
      </c>
      <c r="CE99" s="39"/>
      <c r="CF99" s="39">
        <v>90</v>
      </c>
      <c r="CG99" s="39">
        <f ca="1">IF(CF99&gt;CG98,CG98,-1)</f>
        <v>54.328514749355179</v>
      </c>
      <c r="CH99" s="39">
        <f ca="1">IF(CG99=-1,10,0)</f>
        <v>0</v>
      </c>
      <c r="CI99" s="272"/>
      <c r="CJ99" s="39"/>
      <c r="CK99" s="39" t="b">
        <v>0</v>
      </c>
      <c r="CL99" s="274">
        <f ca="1">IF(CL98=CK99,0,CJ105)</f>
        <v>33.055085809563394</v>
      </c>
      <c r="CM99" s="39"/>
      <c r="CN99" s="39">
        <v>90</v>
      </c>
      <c r="CO99" s="39">
        <f ca="1">IF(CN99&gt;CO98,CO98,-1)</f>
        <v>33.055085809563394</v>
      </c>
      <c r="CP99" s="39">
        <f ca="1">IF(CO99=-1,10,0)</f>
        <v>0</v>
      </c>
      <c r="CQ99" s="39"/>
      <c r="CR99" s="39">
        <v>90</v>
      </c>
      <c r="CS99" s="39">
        <f ca="1">IF(CR99&gt;CS98,CS98,-1)</f>
        <v>3.305148573803649</v>
      </c>
      <c r="CT99" s="39">
        <f ca="1">IF(CS99=-1,10,0)</f>
        <v>0</v>
      </c>
      <c r="CU99" s="285"/>
      <c r="CX99" s="54"/>
    </row>
    <row r="100" spans="1:102">
      <c r="A100" s="335">
        <v>93</v>
      </c>
      <c r="B100" s="39" t="str">
        <f t="shared" si="12"/>
        <v>α lyr</v>
      </c>
      <c r="C100" s="39" t="str">
        <f t="shared" si="13"/>
        <v>μ 57</v>
      </c>
      <c r="F100" s="25" t="s">
        <v>196</v>
      </c>
      <c r="G100" s="22">
        <v>15</v>
      </c>
      <c r="H100" s="22">
        <v>1</v>
      </c>
      <c r="I100" s="22">
        <v>56.8</v>
      </c>
      <c r="J100" s="22">
        <v>40</v>
      </c>
      <c r="K100" s="22">
        <v>23</v>
      </c>
      <c r="L100" s="22">
        <v>26</v>
      </c>
      <c r="M100" s="22" t="s">
        <v>195</v>
      </c>
      <c r="N100" s="22" t="s">
        <v>196</v>
      </c>
      <c r="R100" s="42" t="s">
        <v>2926</v>
      </c>
      <c r="S100" s="42" t="s">
        <v>2924</v>
      </c>
      <c r="T100" s="1" t="str">
        <f t="shared" si="2"/>
        <v>α</v>
      </c>
      <c r="U100" s="1" t="str">
        <f t="shared" si="3"/>
        <v>μ</v>
      </c>
      <c r="V100" s="59"/>
      <c r="X100" s="42" t="s">
        <v>3254</v>
      </c>
      <c r="Y100" s="42" t="s">
        <v>467</v>
      </c>
      <c r="AK100" s="67"/>
      <c r="AL100" s="59"/>
      <c r="AU100" s="82"/>
      <c r="BE100" s="85"/>
      <c r="BG100" s="1" t="s">
        <v>4108</v>
      </c>
      <c r="BM100" s="266"/>
      <c r="BQ100" s="1" t="s">
        <v>4014</v>
      </c>
      <c r="BR100" s="82">
        <f ca="1">BR99+BR92</f>
        <v>290.36112681839296</v>
      </c>
      <c r="BT100" s="71" t="s">
        <v>4016</v>
      </c>
      <c r="BU100" s="618">
        <f ca="1">SIN(RADIANS(BU93))</f>
        <v>-0.93751826768887592</v>
      </c>
      <c r="BV100" s="266"/>
      <c r="BW100" s="272"/>
      <c r="BX100" s="39"/>
      <c r="BY100" s="39" t="s">
        <v>2768</v>
      </c>
      <c r="BZ100" s="86">
        <f ca="1">BZ99*-1</f>
        <v>-18.905475245822586</v>
      </c>
      <c r="CA100" s="39"/>
      <c r="CB100" s="39">
        <v>80</v>
      </c>
      <c r="CC100" s="39">
        <f t="shared" ref="CC100:CC107" ca="1" si="24">IF(CB100&gt;CC99,CC99,-1)</f>
        <v>18.905475245822586</v>
      </c>
      <c r="CD100" s="39">
        <f t="shared" ref="CD100:CD107" ca="1" si="25">IF(CC100=-1,10,0)</f>
        <v>0</v>
      </c>
      <c r="CE100" s="39"/>
      <c r="CF100" s="39">
        <v>80</v>
      </c>
      <c r="CG100" s="39">
        <f t="shared" ref="CG100:CG107" ca="1" si="26">IF(CF100&gt;CG99,CG99,-1)</f>
        <v>54.328514749355179</v>
      </c>
      <c r="CH100" s="39">
        <f t="shared" ref="CH100:CH107" ca="1" si="27">IF(CG100=-1,10,0)</f>
        <v>0</v>
      </c>
      <c r="CI100" s="272"/>
      <c r="CJ100" s="39"/>
      <c r="CK100" s="39" t="s">
        <v>2768</v>
      </c>
      <c r="CL100" s="86">
        <f ca="1">CL99*-1</f>
        <v>-33.055085809563394</v>
      </c>
      <c r="CM100" s="39"/>
      <c r="CN100" s="39">
        <v>80</v>
      </c>
      <c r="CO100" s="39">
        <f t="shared" ref="CO100:CO107" ca="1" si="28">IF(CN100&gt;CO99,CO99,-1)</f>
        <v>33.055085809563394</v>
      </c>
      <c r="CP100" s="39">
        <f t="shared" ref="CP100:CP107" ca="1" si="29">IF(CO100=-1,10,0)</f>
        <v>0</v>
      </c>
      <c r="CQ100" s="39"/>
      <c r="CR100" s="39">
        <v>80</v>
      </c>
      <c r="CS100" s="39">
        <f t="shared" ref="CS100:CS107" ca="1" si="30">IF(CR100&gt;CS99,CS99,-1)</f>
        <v>3.305148573803649</v>
      </c>
      <c r="CT100" s="39">
        <f t="shared" ref="CT100:CT107" ca="1" si="31">IF(CS100=-1,10,0)</f>
        <v>0</v>
      </c>
      <c r="CU100" s="285"/>
      <c r="CX100" s="54"/>
    </row>
    <row r="101" spans="1:102">
      <c r="A101" s="335">
        <v>94</v>
      </c>
      <c r="B101" s="39" t="str">
        <f t="shared" si="12"/>
        <v>α lyr</v>
      </c>
      <c r="C101" s="39" t="str">
        <f t="shared" si="13"/>
        <v>μ 57</v>
      </c>
      <c r="F101" s="25" t="s">
        <v>198</v>
      </c>
      <c r="G101" s="22">
        <v>14</v>
      </c>
      <c r="H101" s="22">
        <v>32</v>
      </c>
      <c r="I101" s="22">
        <v>4.7</v>
      </c>
      <c r="J101" s="22">
        <v>38</v>
      </c>
      <c r="K101" s="22">
        <v>18</v>
      </c>
      <c r="L101" s="22">
        <v>30</v>
      </c>
      <c r="M101" s="22" t="s">
        <v>197</v>
      </c>
      <c r="N101" s="22" t="s">
        <v>198</v>
      </c>
      <c r="R101" s="42" t="s">
        <v>2927</v>
      </c>
      <c r="S101" s="42" t="s">
        <v>2928</v>
      </c>
      <c r="T101" s="1" t="str">
        <f t="shared" si="2"/>
        <v>α</v>
      </c>
      <c r="U101" s="1" t="str">
        <f t="shared" si="3"/>
        <v>μ</v>
      </c>
      <c r="V101" s="59"/>
      <c r="X101" s="42" t="s">
        <v>3023</v>
      </c>
      <c r="Y101" s="42" t="s">
        <v>467</v>
      </c>
      <c r="AK101" s="67"/>
      <c r="AU101" s="82"/>
      <c r="BM101" s="266"/>
      <c r="BN101" s="1" t="s">
        <v>4007</v>
      </c>
      <c r="BO101" s="371">
        <v>23.45</v>
      </c>
      <c r="BQ101" s="1" t="s">
        <v>4015</v>
      </c>
      <c r="BR101" s="433">
        <f ca="1">BR100-360</f>
        <v>-69.638873181607039</v>
      </c>
      <c r="BT101" s="71" t="s">
        <v>4018</v>
      </c>
      <c r="BU101" s="618">
        <f ca="1">COS(RADIANS(BU93))</f>
        <v>0.34793605411001788</v>
      </c>
      <c r="BV101" s="266"/>
      <c r="BW101" s="272"/>
      <c r="BX101" s="39"/>
      <c r="BY101" s="39" t="s">
        <v>2769</v>
      </c>
      <c r="BZ101" s="80">
        <f ca="1">IF(BZ100&lt;0,BZ99,BZ100)</f>
        <v>18.905475245822586</v>
      </c>
      <c r="CA101" s="39"/>
      <c r="CB101" s="39">
        <v>70</v>
      </c>
      <c r="CC101" s="39">
        <f t="shared" ca="1" si="24"/>
        <v>18.905475245822586</v>
      </c>
      <c r="CD101" s="39">
        <f t="shared" ca="1" si="25"/>
        <v>0</v>
      </c>
      <c r="CE101" s="39"/>
      <c r="CF101" s="39">
        <v>70</v>
      </c>
      <c r="CG101" s="39">
        <f t="shared" ca="1" si="26"/>
        <v>54.328514749355179</v>
      </c>
      <c r="CH101" s="39">
        <f t="shared" ca="1" si="27"/>
        <v>0</v>
      </c>
      <c r="CI101" s="272"/>
      <c r="CJ101" s="39"/>
      <c r="CK101" s="39" t="s">
        <v>2769</v>
      </c>
      <c r="CL101" s="80">
        <f ca="1">IF(CL100&lt;0,CL99,CL100)</f>
        <v>33.055085809563394</v>
      </c>
      <c r="CM101" s="39"/>
      <c r="CN101" s="39">
        <v>70</v>
      </c>
      <c r="CO101" s="39">
        <f t="shared" ca="1" si="28"/>
        <v>33.055085809563394</v>
      </c>
      <c r="CP101" s="39">
        <f t="shared" ca="1" si="29"/>
        <v>0</v>
      </c>
      <c r="CQ101" s="39"/>
      <c r="CR101" s="39">
        <v>70</v>
      </c>
      <c r="CS101" s="39">
        <f t="shared" ca="1" si="30"/>
        <v>3.305148573803649</v>
      </c>
      <c r="CT101" s="39">
        <f t="shared" ca="1" si="31"/>
        <v>0</v>
      </c>
      <c r="CU101" s="285"/>
      <c r="CX101" s="54"/>
    </row>
    <row r="102" spans="1:102">
      <c r="A102" s="335">
        <v>95</v>
      </c>
      <c r="B102" s="39" t="str">
        <f t="shared" si="12"/>
        <v>α lyr</v>
      </c>
      <c r="C102" s="39" t="str">
        <f t="shared" si="13"/>
        <v>μ 57</v>
      </c>
      <c r="F102" s="25" t="s">
        <v>200</v>
      </c>
      <c r="G102" s="22">
        <v>15</v>
      </c>
      <c r="H102" s="22">
        <v>15</v>
      </c>
      <c r="I102" s="22">
        <v>30.2</v>
      </c>
      <c r="J102" s="22">
        <v>33</v>
      </c>
      <c r="K102" s="22">
        <v>18</v>
      </c>
      <c r="L102" s="22">
        <v>53</v>
      </c>
      <c r="M102" s="22" t="s">
        <v>199</v>
      </c>
      <c r="N102" s="22" t="s">
        <v>200</v>
      </c>
      <c r="R102" s="42" t="s">
        <v>2929</v>
      </c>
      <c r="S102" s="42" t="s">
        <v>2930</v>
      </c>
      <c r="T102" s="1" t="str">
        <f t="shared" si="2"/>
        <v>α</v>
      </c>
      <c r="U102" s="1" t="str">
        <f t="shared" si="3"/>
        <v>μ</v>
      </c>
      <c r="V102" s="59"/>
      <c r="X102" s="42" t="s">
        <v>3255</v>
      </c>
      <c r="Y102" s="42" t="s">
        <v>475</v>
      </c>
      <c r="AK102" s="67"/>
      <c r="AU102" s="82"/>
      <c r="BM102" s="266"/>
      <c r="BQ102" s="1" t="s">
        <v>4017</v>
      </c>
      <c r="BR102" s="291">
        <f ca="1">IF(BR101&lt;0,BR100,BR101)</f>
        <v>290.36112681839296</v>
      </c>
      <c r="BT102" s="620" t="s">
        <v>4020</v>
      </c>
      <c r="BU102" s="621">
        <f>SIN(RADIANS(BU94))</f>
        <v>0.82460715084525282</v>
      </c>
      <c r="BV102" s="266"/>
      <c r="BW102" s="272"/>
      <c r="BX102" s="39"/>
      <c r="BY102" s="268" t="s">
        <v>2770</v>
      </c>
      <c r="BZ102" s="268">
        <f ca="1">IF(BZ99&lt;0,2,1)</f>
        <v>1</v>
      </c>
      <c r="CA102" s="39"/>
      <c r="CB102" s="39">
        <v>60</v>
      </c>
      <c r="CC102" s="39">
        <f t="shared" ca="1" si="24"/>
        <v>18.905475245822586</v>
      </c>
      <c r="CD102" s="39">
        <f t="shared" ca="1" si="25"/>
        <v>0</v>
      </c>
      <c r="CE102" s="39"/>
      <c r="CF102" s="39">
        <v>60</v>
      </c>
      <c r="CG102" s="39">
        <f t="shared" ca="1" si="26"/>
        <v>54.328514749355179</v>
      </c>
      <c r="CH102" s="39">
        <f t="shared" ca="1" si="27"/>
        <v>0</v>
      </c>
      <c r="CI102" s="272"/>
      <c r="CJ102" s="39"/>
      <c r="CK102" s="268" t="s">
        <v>2770</v>
      </c>
      <c r="CL102" s="268">
        <f ca="1">IF(CL99&lt;0,2,1)</f>
        <v>1</v>
      </c>
      <c r="CM102" s="39"/>
      <c r="CN102" s="39">
        <v>60</v>
      </c>
      <c r="CO102" s="39">
        <f t="shared" ca="1" si="28"/>
        <v>33.055085809563394</v>
      </c>
      <c r="CP102" s="39">
        <f t="shared" ca="1" si="29"/>
        <v>0</v>
      </c>
      <c r="CQ102" s="39"/>
      <c r="CR102" s="39">
        <v>60</v>
      </c>
      <c r="CS102" s="39">
        <f t="shared" ca="1" si="30"/>
        <v>3.305148573803649</v>
      </c>
      <c r="CT102" s="39">
        <f t="shared" ca="1" si="31"/>
        <v>0</v>
      </c>
      <c r="CU102" s="285"/>
      <c r="CX102" s="54"/>
    </row>
    <row r="103" spans="1:102">
      <c r="A103" s="335">
        <v>96</v>
      </c>
      <c r="B103" s="39" t="str">
        <f t="shared" si="12"/>
        <v>α lyr</v>
      </c>
      <c r="C103" s="39" t="str">
        <f t="shared" si="13"/>
        <v>μ 57</v>
      </c>
      <c r="F103" s="25" t="s">
        <v>1889</v>
      </c>
      <c r="G103" s="22">
        <v>14</v>
      </c>
      <c r="H103" s="22">
        <v>44</v>
      </c>
      <c r="I103" s="22">
        <v>59.2</v>
      </c>
      <c r="J103" s="22">
        <v>27</v>
      </c>
      <c r="K103" s="22">
        <v>4</v>
      </c>
      <c r="L103" s="22">
        <v>27</v>
      </c>
      <c r="M103" s="22" t="s">
        <v>201</v>
      </c>
      <c r="N103" s="22" t="s">
        <v>202</v>
      </c>
      <c r="R103" s="70" t="s">
        <v>2931</v>
      </c>
      <c r="S103" s="70" t="s">
        <v>2930</v>
      </c>
      <c r="T103" s="1" t="str">
        <f t="shared" si="2"/>
        <v>α</v>
      </c>
      <c r="U103" s="1" t="str">
        <f t="shared" si="3"/>
        <v>μ</v>
      </c>
      <c r="V103" s="59"/>
      <c r="X103" s="42" t="s">
        <v>3112</v>
      </c>
      <c r="Y103" s="42" t="s">
        <v>475</v>
      </c>
      <c r="AK103" s="67"/>
      <c r="AU103" s="82"/>
      <c r="BM103" s="266"/>
      <c r="BN103" s="1" t="s">
        <v>4010</v>
      </c>
      <c r="BO103" s="444">
        <v>0.39794863130761038</v>
      </c>
      <c r="BQ103" s="612" t="s">
        <v>4019</v>
      </c>
      <c r="BR103" s="619">
        <f ca="1">BR102</f>
        <v>290.36112681839296</v>
      </c>
      <c r="BT103" s="620" t="s">
        <v>4022</v>
      </c>
      <c r="BU103" s="621">
        <f>COS(RADIANS(BU94))</f>
        <v>0.5657057952459692</v>
      </c>
      <c r="BV103" s="266"/>
      <c r="BW103" s="272"/>
      <c r="BX103" s="39"/>
      <c r="BY103" s="39" t="s">
        <v>2771</v>
      </c>
      <c r="BZ103" s="275">
        <f ca="1">IF(BZ101&gt;100,0,BZ101)</f>
        <v>18.905475245822586</v>
      </c>
      <c r="CA103" s="39"/>
      <c r="CB103" s="39">
        <v>50</v>
      </c>
      <c r="CC103" s="39">
        <f t="shared" ca="1" si="24"/>
        <v>18.905475245822586</v>
      </c>
      <c r="CD103" s="39">
        <f t="shared" ca="1" si="25"/>
        <v>0</v>
      </c>
      <c r="CE103" s="39"/>
      <c r="CF103" s="39">
        <v>50</v>
      </c>
      <c r="CG103" s="39">
        <f t="shared" ca="1" si="26"/>
        <v>-1</v>
      </c>
      <c r="CH103" s="39">
        <f t="shared" ca="1" si="27"/>
        <v>10</v>
      </c>
      <c r="CI103" s="272"/>
      <c r="CJ103" s="39"/>
      <c r="CK103" s="39" t="s">
        <v>2771</v>
      </c>
      <c r="CL103" s="275">
        <f ca="1">IF(CL101&gt;100,0,CL101)</f>
        <v>33.055085809563394</v>
      </c>
      <c r="CM103" s="39"/>
      <c r="CN103" s="39">
        <v>50</v>
      </c>
      <c r="CO103" s="39">
        <f t="shared" ca="1" si="28"/>
        <v>33.055085809563394</v>
      </c>
      <c r="CP103" s="39">
        <f t="shared" ca="1" si="29"/>
        <v>0</v>
      </c>
      <c r="CQ103" s="39"/>
      <c r="CR103" s="39">
        <v>50</v>
      </c>
      <c r="CS103" s="39">
        <f t="shared" ca="1" si="30"/>
        <v>3.305148573803649</v>
      </c>
      <c r="CT103" s="39">
        <f t="shared" ca="1" si="31"/>
        <v>0</v>
      </c>
      <c r="CU103" s="285"/>
      <c r="CX103" s="54"/>
    </row>
    <row r="104" spans="1:102">
      <c r="A104" s="335">
        <v>97</v>
      </c>
      <c r="B104" s="39" t="str">
        <f t="shared" si="12"/>
        <v>α lyr</v>
      </c>
      <c r="C104" s="39" t="str">
        <f t="shared" si="13"/>
        <v>μ 57</v>
      </c>
      <c r="F104" s="25" t="s">
        <v>204</v>
      </c>
      <c r="G104" s="22">
        <v>14</v>
      </c>
      <c r="H104" s="22">
        <v>41</v>
      </c>
      <c r="I104" s="22">
        <v>9</v>
      </c>
      <c r="J104" s="22">
        <v>13</v>
      </c>
      <c r="K104" s="22">
        <v>43</v>
      </c>
      <c r="L104" s="22">
        <v>42</v>
      </c>
      <c r="M104" s="22" t="s">
        <v>203</v>
      </c>
      <c r="N104" s="22" t="s">
        <v>204</v>
      </c>
      <c r="V104" s="59"/>
      <c r="X104" s="42" t="s">
        <v>3256</v>
      </c>
      <c r="Y104" s="42" t="s">
        <v>477</v>
      </c>
      <c r="AK104" s="67"/>
      <c r="AU104" s="82"/>
      <c r="BM104" s="266"/>
      <c r="BN104" s="1" t="s">
        <v>4013</v>
      </c>
      <c r="BO104" s="444">
        <v>0.91740769935748823</v>
      </c>
      <c r="BQ104" s="307" t="s">
        <v>4021</v>
      </c>
      <c r="BR104" s="613">
        <f>BR93</f>
        <v>55.548682644571834</v>
      </c>
      <c r="BV104" s="266"/>
      <c r="BW104" s="272"/>
      <c r="BX104" s="276" t="s">
        <v>2772</v>
      </c>
      <c r="BY104" s="39"/>
      <c r="BZ104" s="39"/>
      <c r="CA104" s="39"/>
      <c r="CB104" s="39">
        <v>40</v>
      </c>
      <c r="CC104" s="39">
        <f t="shared" ca="1" si="24"/>
        <v>18.905475245822586</v>
      </c>
      <c r="CD104" s="39">
        <f t="shared" ca="1" si="25"/>
        <v>0</v>
      </c>
      <c r="CE104" s="39"/>
      <c r="CF104" s="39">
        <v>40</v>
      </c>
      <c r="CG104" s="39">
        <f t="shared" ca="1" si="26"/>
        <v>-1</v>
      </c>
      <c r="CH104" s="39">
        <f t="shared" ca="1" si="27"/>
        <v>10</v>
      </c>
      <c r="CI104" s="272"/>
      <c r="CJ104" s="276" t="s">
        <v>2772</v>
      </c>
      <c r="CK104" s="39"/>
      <c r="CL104" s="39"/>
      <c r="CM104" s="39"/>
      <c r="CN104" s="39">
        <v>40</v>
      </c>
      <c r="CO104" s="39">
        <f t="shared" ca="1" si="28"/>
        <v>33.055085809563394</v>
      </c>
      <c r="CP104" s="39">
        <f t="shared" ca="1" si="29"/>
        <v>0</v>
      </c>
      <c r="CQ104" s="39"/>
      <c r="CR104" s="39">
        <v>40</v>
      </c>
      <c r="CS104" s="39">
        <f t="shared" ca="1" si="30"/>
        <v>3.305148573803649</v>
      </c>
      <c r="CT104" s="39">
        <f t="shared" ca="1" si="31"/>
        <v>0</v>
      </c>
      <c r="CU104" s="285"/>
      <c r="CX104" s="54"/>
    </row>
    <row r="105" spans="1:102">
      <c r="A105" s="335">
        <v>98</v>
      </c>
      <c r="B105" s="39" t="str">
        <f t="shared" si="12"/>
        <v>α lyr</v>
      </c>
      <c r="C105" s="39" t="str">
        <f t="shared" si="13"/>
        <v>μ 57</v>
      </c>
      <c r="F105" s="25" t="s">
        <v>206</v>
      </c>
      <c r="G105" s="22">
        <v>13</v>
      </c>
      <c r="H105" s="22">
        <v>54</v>
      </c>
      <c r="I105" s="22">
        <v>41</v>
      </c>
      <c r="J105" s="22">
        <v>18</v>
      </c>
      <c r="K105" s="22">
        <v>23</v>
      </c>
      <c r="L105" s="22">
        <v>52</v>
      </c>
      <c r="M105" s="22" t="s">
        <v>205</v>
      </c>
      <c r="N105" s="22" t="s">
        <v>206</v>
      </c>
      <c r="V105" s="59"/>
      <c r="X105" s="42" t="s">
        <v>3026</v>
      </c>
      <c r="Y105" s="42" t="s">
        <v>477</v>
      </c>
      <c r="AK105" s="67"/>
      <c r="AU105" s="82"/>
      <c r="BM105" s="266"/>
      <c r="BN105" s="1" t="s">
        <v>4023</v>
      </c>
      <c r="BO105" s="62">
        <f>15*BO92</f>
        <v>283.39625000000001</v>
      </c>
      <c r="BT105" s="622" t="s">
        <v>4025</v>
      </c>
      <c r="BU105" s="1">
        <f ca="1">BU100*BU103</f>
        <v>-0.53035951718055896</v>
      </c>
      <c r="BV105" s="266"/>
      <c r="BW105" s="272"/>
      <c r="BX105" s="277">
        <f ca="1">BO88</f>
        <v>18.905475245822586</v>
      </c>
      <c r="BY105" s="39"/>
      <c r="BZ105" s="39"/>
      <c r="CA105" s="39"/>
      <c r="CB105" s="39">
        <v>30</v>
      </c>
      <c r="CC105" s="39">
        <f t="shared" ca="1" si="24"/>
        <v>18.905475245822586</v>
      </c>
      <c r="CD105" s="39">
        <f t="shared" ca="1" si="25"/>
        <v>0</v>
      </c>
      <c r="CE105" s="39"/>
      <c r="CF105" s="39">
        <v>30</v>
      </c>
      <c r="CG105" s="39">
        <f t="shared" ca="1" si="26"/>
        <v>-1</v>
      </c>
      <c r="CH105" s="39">
        <f t="shared" ca="1" si="27"/>
        <v>10</v>
      </c>
      <c r="CI105" s="272"/>
      <c r="CJ105" s="277">
        <f ca="1">BO89</f>
        <v>33.055085809563394</v>
      </c>
      <c r="CK105" s="39"/>
      <c r="CL105" s="39"/>
      <c r="CM105" s="39"/>
      <c r="CN105" s="39">
        <v>30</v>
      </c>
      <c r="CO105" s="39">
        <f t="shared" ca="1" si="28"/>
        <v>-1</v>
      </c>
      <c r="CP105" s="39">
        <f t="shared" ca="1" si="29"/>
        <v>10</v>
      </c>
      <c r="CQ105" s="39"/>
      <c r="CR105" s="39">
        <v>30</v>
      </c>
      <c r="CS105" s="39">
        <f t="shared" ca="1" si="30"/>
        <v>3.305148573803649</v>
      </c>
      <c r="CT105" s="39">
        <f t="shared" ca="1" si="31"/>
        <v>0</v>
      </c>
      <c r="CU105" s="285"/>
      <c r="CX105" s="54"/>
    </row>
    <row r="106" spans="1:102">
      <c r="A106" s="335">
        <v>99</v>
      </c>
      <c r="B106" s="39" t="str">
        <f t="shared" si="12"/>
        <v>α lyr</v>
      </c>
      <c r="C106" s="39" t="str">
        <f t="shared" si="13"/>
        <v>μ 57</v>
      </c>
      <c r="F106" s="25" t="s">
        <v>208</v>
      </c>
      <c r="G106" s="22">
        <v>14</v>
      </c>
      <c r="H106" s="22">
        <v>25</v>
      </c>
      <c r="I106" s="22">
        <v>11.8</v>
      </c>
      <c r="J106" s="22">
        <v>51</v>
      </c>
      <c r="K106" s="22">
        <v>51</v>
      </c>
      <c r="L106" s="22">
        <v>3</v>
      </c>
      <c r="M106" s="22" t="s">
        <v>207</v>
      </c>
      <c r="N106" s="22" t="s">
        <v>208</v>
      </c>
      <c r="R106" s="71" t="s">
        <v>2932</v>
      </c>
      <c r="T106" s="307" t="s">
        <v>2673</v>
      </c>
      <c r="U106" s="308" t="s">
        <v>2667</v>
      </c>
      <c r="V106" s="59"/>
      <c r="X106" s="42" t="s">
        <v>3257</v>
      </c>
      <c r="Y106" s="42" t="s">
        <v>491</v>
      </c>
      <c r="AK106" s="67"/>
      <c r="AU106" s="82"/>
      <c r="BM106" s="266"/>
      <c r="BN106" s="71" t="s">
        <v>4024</v>
      </c>
      <c r="BO106" s="618">
        <f>SIN(RADIANS(BO105))</f>
        <v>-0.97279104399066885</v>
      </c>
      <c r="BT106" s="622" t="s">
        <v>4027</v>
      </c>
      <c r="BU106" s="1">
        <f ca="1">BU105/BU98</f>
        <v>-0.57810667770937529</v>
      </c>
      <c r="BV106" s="266"/>
      <c r="BW106" s="272"/>
      <c r="BX106" s="278" t="s">
        <v>2672</v>
      </c>
      <c r="BY106" s="39" t="s">
        <v>2667</v>
      </c>
      <c r="BZ106" s="39"/>
      <c r="CA106" s="39"/>
      <c r="CB106" s="39">
        <v>20</v>
      </c>
      <c r="CC106" s="39">
        <f t="shared" ca="1" si="24"/>
        <v>18.905475245822586</v>
      </c>
      <c r="CD106" s="39">
        <f t="shared" ca="1" si="25"/>
        <v>0</v>
      </c>
      <c r="CE106" s="39"/>
      <c r="CF106" s="39">
        <v>20</v>
      </c>
      <c r="CG106" s="39">
        <f t="shared" ca="1" si="26"/>
        <v>-1</v>
      </c>
      <c r="CH106" s="39">
        <f t="shared" ca="1" si="27"/>
        <v>10</v>
      </c>
      <c r="CI106" s="272"/>
      <c r="CJ106" s="278" t="s">
        <v>2672</v>
      </c>
      <c r="CK106" s="39"/>
      <c r="CL106" s="39"/>
      <c r="CM106" s="39"/>
      <c r="CN106" s="39">
        <v>20</v>
      </c>
      <c r="CO106" s="39">
        <f t="shared" ca="1" si="28"/>
        <v>-1</v>
      </c>
      <c r="CP106" s="39">
        <f t="shared" ca="1" si="29"/>
        <v>10</v>
      </c>
      <c r="CQ106" s="39"/>
      <c r="CR106" s="39">
        <v>20</v>
      </c>
      <c r="CS106" s="39">
        <f t="shared" ca="1" si="30"/>
        <v>3.305148573803649</v>
      </c>
      <c r="CT106" s="39">
        <f t="shared" ca="1" si="31"/>
        <v>0</v>
      </c>
      <c r="CU106" s="285"/>
      <c r="CX106" s="54"/>
    </row>
    <row r="107" spans="1:102">
      <c r="A107" s="335">
        <v>100</v>
      </c>
      <c r="B107" s="39" t="str">
        <f t="shared" si="12"/>
        <v>α lyr</v>
      </c>
      <c r="C107" s="39" t="str">
        <f t="shared" si="13"/>
        <v>μ 57</v>
      </c>
      <c r="F107" s="41" t="s">
        <v>3811</v>
      </c>
      <c r="G107" s="22">
        <v>14</v>
      </c>
      <c r="H107" s="22">
        <v>16</v>
      </c>
      <c r="I107" s="22">
        <v>9.9</v>
      </c>
      <c r="J107" s="22">
        <v>51</v>
      </c>
      <c r="K107" s="22">
        <v>22</v>
      </c>
      <c r="L107" s="22">
        <v>2</v>
      </c>
      <c r="M107" s="22" t="s">
        <v>3928</v>
      </c>
      <c r="N107" s="22" t="s">
        <v>3929</v>
      </c>
      <c r="R107" s="71" t="s">
        <v>2665</v>
      </c>
      <c r="T107" s="325" t="str">
        <f>T103</f>
        <v>α</v>
      </c>
      <c r="U107" s="325" t="str">
        <f>U103</f>
        <v>μ</v>
      </c>
      <c r="V107" s="59"/>
      <c r="X107" s="42" t="s">
        <v>3258</v>
      </c>
      <c r="Y107" s="42" t="s">
        <v>491</v>
      </c>
      <c r="AK107" s="67"/>
      <c r="AU107" s="82"/>
      <c r="BM107" s="266"/>
      <c r="BN107" s="71" t="s">
        <v>4026</v>
      </c>
      <c r="BO107" s="618">
        <f>COS(RADIANS(BO105))</f>
        <v>0.23168423496549034</v>
      </c>
      <c r="BT107" s="622" t="s">
        <v>4029</v>
      </c>
      <c r="BU107" s="1">
        <f ca="1">BU105*BU97/BU98</f>
        <v>-0.23005676114423573</v>
      </c>
      <c r="BV107" s="266"/>
      <c r="BW107" s="272"/>
      <c r="BX107" s="73">
        <f ca="1">IF(BZ102=1,CH130,CH134)</f>
        <v>18</v>
      </c>
      <c r="BY107" s="1" t="s">
        <v>4109</v>
      </c>
      <c r="BZ107" s="73">
        <f>BF76</f>
        <v>51.922250000000005</v>
      </c>
      <c r="CA107" s="39"/>
      <c r="CB107" s="39">
        <v>10</v>
      </c>
      <c r="CC107" s="39">
        <f t="shared" ca="1" si="24"/>
        <v>-1</v>
      </c>
      <c r="CD107" s="39">
        <f t="shared" ca="1" si="25"/>
        <v>10</v>
      </c>
      <c r="CE107" s="39"/>
      <c r="CF107" s="39">
        <v>10</v>
      </c>
      <c r="CG107" s="39">
        <f t="shared" ca="1" si="26"/>
        <v>-1</v>
      </c>
      <c r="CH107" s="39">
        <f t="shared" ca="1" si="27"/>
        <v>10</v>
      </c>
      <c r="CI107" s="272"/>
      <c r="CJ107" s="73">
        <f ca="1">IF(CL102=1,CT130,CT134)</f>
        <v>33</v>
      </c>
      <c r="CK107" s="39"/>
      <c r="CL107" s="39"/>
      <c r="CM107" s="39"/>
      <c r="CN107" s="39">
        <v>10</v>
      </c>
      <c r="CO107" s="39">
        <f t="shared" ca="1" si="28"/>
        <v>-1</v>
      </c>
      <c r="CP107" s="39">
        <f t="shared" ca="1" si="29"/>
        <v>10</v>
      </c>
      <c r="CQ107" s="39"/>
      <c r="CR107" s="39">
        <v>10</v>
      </c>
      <c r="CS107" s="39">
        <f t="shared" ca="1" si="30"/>
        <v>3.305148573803649</v>
      </c>
      <c r="CT107" s="39">
        <f t="shared" ca="1" si="31"/>
        <v>0</v>
      </c>
      <c r="CU107" s="285"/>
      <c r="CX107" s="54"/>
    </row>
    <row r="108" spans="1:102">
      <c r="A108" s="335">
        <v>101</v>
      </c>
      <c r="B108" s="39" t="str">
        <f t="shared" si="12"/>
        <v>α lyr</v>
      </c>
      <c r="C108" s="39" t="str">
        <f t="shared" si="13"/>
        <v>μ 57</v>
      </c>
      <c r="F108" s="25" t="s">
        <v>1890</v>
      </c>
      <c r="G108" s="22">
        <v>14</v>
      </c>
      <c r="H108" s="22">
        <v>13</v>
      </c>
      <c r="I108" s="22">
        <v>29</v>
      </c>
      <c r="J108" s="22">
        <v>51</v>
      </c>
      <c r="K108" s="22">
        <v>47</v>
      </c>
      <c r="L108" s="22">
        <v>24</v>
      </c>
      <c r="M108" s="22" t="s">
        <v>209</v>
      </c>
      <c r="N108" s="22" t="s">
        <v>210</v>
      </c>
      <c r="R108" s="326" t="s">
        <v>2933</v>
      </c>
      <c r="S108" s="326" t="s">
        <v>2934</v>
      </c>
      <c r="T108" s="1" t="str">
        <f>IF(T107=R108,S108,T107)</f>
        <v>α</v>
      </c>
      <c r="U108" s="1" t="str">
        <f>IF(U107=R108,S108,U107)</f>
        <v>μ</v>
      </c>
      <c r="V108" s="59"/>
      <c r="X108" s="42" t="s">
        <v>3259</v>
      </c>
      <c r="Y108" s="42" t="s">
        <v>491</v>
      </c>
      <c r="AK108" s="67"/>
      <c r="AU108" s="82"/>
      <c r="BM108" s="266"/>
      <c r="BN108" s="620" t="s">
        <v>4028</v>
      </c>
      <c r="BO108" s="621">
        <f>SIN(RADIANS(BO93))</f>
        <v>0.54506589334225297</v>
      </c>
      <c r="BT108" s="622" t="s">
        <v>4031</v>
      </c>
      <c r="BU108" s="1">
        <f ca="1">BU107+BU102</f>
        <v>0.59455038970101715</v>
      </c>
      <c r="BV108" s="266"/>
      <c r="BW108" s="272"/>
      <c r="BX108" s="73">
        <f ca="1">IF(BZ102=1,CH131,CH135)</f>
        <v>54</v>
      </c>
      <c r="BY108" s="39"/>
      <c r="BZ108" s="39"/>
      <c r="CA108" s="39"/>
      <c r="CB108" s="39"/>
      <c r="CC108" s="39"/>
      <c r="CD108" s="279">
        <f ca="1">SUM(CD99:CD107)</f>
        <v>10</v>
      </c>
      <c r="CE108" s="39"/>
      <c r="CF108" s="39"/>
      <c r="CG108" s="39"/>
      <c r="CH108" s="279">
        <f ca="1">SUM(CH99:CH107)</f>
        <v>50</v>
      </c>
      <c r="CI108" s="272"/>
      <c r="CJ108" s="73">
        <f ca="1">IF(CL102=1,CT131,CT135)</f>
        <v>3</v>
      </c>
      <c r="CK108" s="39"/>
      <c r="CL108" s="39"/>
      <c r="CM108" s="39"/>
      <c r="CN108" s="39"/>
      <c r="CO108" s="39"/>
      <c r="CP108" s="279">
        <f ca="1">SUM(CP99:CP107)</f>
        <v>30</v>
      </c>
      <c r="CQ108" s="39"/>
      <c r="CR108" s="39"/>
      <c r="CS108" s="39"/>
      <c r="CT108" s="279">
        <f ca="1">SUM(CT99:CT107)</f>
        <v>0</v>
      </c>
      <c r="CU108" s="285"/>
      <c r="CX108" s="54"/>
    </row>
    <row r="109" spans="1:102">
      <c r="A109" s="335">
        <v>102</v>
      </c>
      <c r="B109" s="39" t="str">
        <f t="shared" si="12"/>
        <v>α lyr</v>
      </c>
      <c r="C109" s="39" t="str">
        <f t="shared" si="13"/>
        <v>μ 57</v>
      </c>
      <c r="F109" s="41" t="s">
        <v>3812</v>
      </c>
      <c r="G109" s="22">
        <v>14</v>
      </c>
      <c r="H109" s="22">
        <v>16</v>
      </c>
      <c r="I109" s="22">
        <v>23</v>
      </c>
      <c r="J109" s="22">
        <v>46</v>
      </c>
      <c r="K109" s="22">
        <v>5</v>
      </c>
      <c r="L109" s="22">
        <v>18</v>
      </c>
      <c r="M109" s="22" t="s">
        <v>3930</v>
      </c>
      <c r="N109" s="22" t="s">
        <v>3931</v>
      </c>
      <c r="R109" s="327" t="s">
        <v>2935</v>
      </c>
      <c r="S109" s="327" t="s">
        <v>2934</v>
      </c>
      <c r="T109" s="1" t="str">
        <f t="shared" ref="T109:T146" si="32">IF(T108=R109,S109,T108)</f>
        <v>α</v>
      </c>
      <c r="U109" s="1" t="str">
        <f t="shared" ref="U109:U146" si="33">IF(U108=R109,S109,U108)</f>
        <v>μ</v>
      </c>
      <c r="V109" s="59"/>
      <c r="X109" s="42" t="s">
        <v>3048</v>
      </c>
      <c r="Y109" s="42" t="s">
        <v>491</v>
      </c>
      <c r="AK109" s="67"/>
      <c r="AU109" s="82"/>
      <c r="BM109" s="266"/>
      <c r="BN109" s="620" t="s">
        <v>4030</v>
      </c>
      <c r="BO109" s="621">
        <f>COS(RADIANS(BO93))</f>
        <v>0.83839320841417342</v>
      </c>
      <c r="BT109" s="622" t="s">
        <v>4032</v>
      </c>
      <c r="BU109" s="1">
        <f ca="1">BU108*BU98</f>
        <v>0.54544510516770817</v>
      </c>
      <c r="BV109" s="266"/>
      <c r="BW109" s="272"/>
      <c r="BX109" s="73">
        <f ca="1">IF(BZ102=1,CH132,CH136)</f>
        <v>19.71088496131074</v>
      </c>
      <c r="BY109" s="39"/>
      <c r="BZ109" s="39"/>
      <c r="CA109" s="39"/>
      <c r="CB109" s="39"/>
      <c r="CC109" s="39"/>
      <c r="CD109" s="280">
        <f ca="1">CC98-CD108</f>
        <v>8.9054752458225863</v>
      </c>
      <c r="CE109" s="39"/>
      <c r="CF109" s="39"/>
      <c r="CG109" s="39"/>
      <c r="CH109" s="280">
        <f ca="1">CG98-CH108</f>
        <v>4.328514749355179</v>
      </c>
      <c r="CI109" s="272"/>
      <c r="CJ109" s="73">
        <f ca="1">IF(CL102=1,CT132,CT136)</f>
        <v>18.308914428218941</v>
      </c>
      <c r="CK109" s="39"/>
      <c r="CL109" s="39"/>
      <c r="CM109" s="39"/>
      <c r="CN109" s="39"/>
      <c r="CO109" s="39"/>
      <c r="CP109" s="280">
        <f ca="1">CO98-CP108</f>
        <v>3.0550858095633942</v>
      </c>
      <c r="CQ109" s="39"/>
      <c r="CR109" s="39"/>
      <c r="CS109" s="39"/>
      <c r="CT109" s="280">
        <f ca="1">CS98-CT108</f>
        <v>3.305148573803649</v>
      </c>
      <c r="CU109" s="285"/>
      <c r="CX109" s="54"/>
    </row>
    <row r="110" spans="1:102">
      <c r="A110" s="335">
        <v>103</v>
      </c>
      <c r="B110" s="39" t="str">
        <f t="shared" si="12"/>
        <v>α lyr</v>
      </c>
      <c r="C110" s="39" t="str">
        <f t="shared" si="13"/>
        <v>μ 57</v>
      </c>
      <c r="F110" s="25" t="s">
        <v>1891</v>
      </c>
      <c r="G110" s="22">
        <v>15</v>
      </c>
      <c r="H110" s="22">
        <v>24</v>
      </c>
      <c r="I110" s="22">
        <v>29.4</v>
      </c>
      <c r="J110" s="22">
        <v>37</v>
      </c>
      <c r="K110" s="22">
        <v>22</v>
      </c>
      <c r="L110" s="22">
        <v>38</v>
      </c>
      <c r="M110" s="22" t="s">
        <v>211</v>
      </c>
      <c r="N110" s="22" t="s">
        <v>212</v>
      </c>
      <c r="R110" s="327" t="s">
        <v>2936</v>
      </c>
      <c r="S110" s="327" t="s">
        <v>2934</v>
      </c>
      <c r="T110" s="1" t="str">
        <f t="shared" si="32"/>
        <v>α</v>
      </c>
      <c r="U110" s="1" t="str">
        <f t="shared" si="33"/>
        <v>μ</v>
      </c>
      <c r="V110" s="59"/>
      <c r="X110" s="42" t="s">
        <v>3260</v>
      </c>
      <c r="Y110" s="42" t="s">
        <v>511</v>
      </c>
      <c r="AK110" s="67"/>
      <c r="AU110" s="82"/>
      <c r="BM110" s="266"/>
      <c r="BT110" s="622" t="s">
        <v>4034</v>
      </c>
      <c r="BU110" s="623">
        <f ca="1">DEGREES(ASIN(RADIANS(DEGREES(BU109))))</f>
        <v>33.055085809563394</v>
      </c>
      <c r="BV110" s="266"/>
      <c r="BW110" s="272"/>
      <c r="BX110" s="39"/>
      <c r="BY110" s="39"/>
      <c r="BZ110" s="39"/>
      <c r="CA110" s="39"/>
      <c r="CB110" s="39"/>
      <c r="CC110" s="68">
        <f ca="1">CD109</f>
        <v>8.9054752458225863</v>
      </c>
      <c r="CD110" s="39"/>
      <c r="CE110" s="39"/>
      <c r="CF110" s="39"/>
      <c r="CG110" s="68">
        <f ca="1">CH109</f>
        <v>4.328514749355179</v>
      </c>
      <c r="CH110" s="39"/>
      <c r="CI110" s="272"/>
      <c r="CJ110" s="39"/>
      <c r="CK110" s="39"/>
      <c r="CL110" s="39"/>
      <c r="CM110" s="39"/>
      <c r="CN110" s="39"/>
      <c r="CO110" s="68">
        <f ca="1">CP109</f>
        <v>3.0550858095633942</v>
      </c>
      <c r="CP110" s="39"/>
      <c r="CQ110" s="39"/>
      <c r="CR110" s="39"/>
      <c r="CS110" s="68">
        <f ca="1">CT109</f>
        <v>3.305148573803649</v>
      </c>
      <c r="CT110" s="39"/>
      <c r="CU110" s="285"/>
      <c r="CX110" s="54"/>
    </row>
    <row r="111" spans="1:102">
      <c r="A111" s="335">
        <v>104</v>
      </c>
      <c r="B111" s="39" t="str">
        <f t="shared" si="12"/>
        <v>α lyr</v>
      </c>
      <c r="C111" s="39" t="str">
        <f t="shared" si="13"/>
        <v>μ 57</v>
      </c>
      <c r="F111" s="25" t="s">
        <v>1892</v>
      </c>
      <c r="G111" s="22">
        <v>14</v>
      </c>
      <c r="H111" s="22">
        <v>51</v>
      </c>
      <c r="I111" s="22">
        <v>23.4</v>
      </c>
      <c r="J111" s="22">
        <v>19</v>
      </c>
      <c r="K111" s="22">
        <v>6</v>
      </c>
      <c r="L111" s="22">
        <v>2</v>
      </c>
      <c r="M111" s="22" t="s">
        <v>213</v>
      </c>
      <c r="N111" s="22" t="s">
        <v>214</v>
      </c>
      <c r="R111" s="327" t="s">
        <v>2937</v>
      </c>
      <c r="S111" s="327" t="s">
        <v>2938</v>
      </c>
      <c r="T111" s="1" t="str">
        <f t="shared" si="32"/>
        <v>α</v>
      </c>
      <c r="U111" s="1" t="str">
        <f t="shared" si="33"/>
        <v>μ</v>
      </c>
      <c r="V111" s="59"/>
      <c r="X111" s="42" t="s">
        <v>3053</v>
      </c>
      <c r="Y111" s="42" t="s">
        <v>511</v>
      </c>
      <c r="AK111" s="67"/>
      <c r="AU111" s="82"/>
      <c r="BM111" s="266"/>
      <c r="BN111" s="1" t="s">
        <v>4033</v>
      </c>
      <c r="BO111" s="1">
        <f>BO106*BO109</f>
        <v>-0.81558140448791017</v>
      </c>
      <c r="BV111" s="266"/>
      <c r="BW111" s="272"/>
      <c r="BX111" s="643">
        <f ca="1">IF(BZ103=0,0,BX107)</f>
        <v>18</v>
      </c>
      <c r="BY111" s="39"/>
      <c r="BZ111" s="39"/>
      <c r="CA111" s="39"/>
      <c r="CB111" s="39">
        <v>9</v>
      </c>
      <c r="CC111" s="39">
        <f ca="1">IF(CB111&gt;CC110,CC110,-1)</f>
        <v>8.9054752458225863</v>
      </c>
      <c r="CD111" s="39">
        <f ca="1">IF(CC111=-1,1,0)</f>
        <v>0</v>
      </c>
      <c r="CE111" s="39"/>
      <c r="CF111" s="39">
        <v>9</v>
      </c>
      <c r="CG111" s="39">
        <f ca="1">IF(CF111&gt;CG110,CG110,-1)</f>
        <v>4.328514749355179</v>
      </c>
      <c r="CH111" s="39">
        <f ca="1">IF(CG111=-1,1,0)</f>
        <v>0</v>
      </c>
      <c r="CI111" s="272"/>
      <c r="CJ111" s="643">
        <f ca="1">IF(CL103=0,0,CJ107)</f>
        <v>33</v>
      </c>
      <c r="CK111" s="39"/>
      <c r="CL111" s="39"/>
      <c r="CM111" s="39"/>
      <c r="CN111" s="39">
        <v>9</v>
      </c>
      <c r="CO111" s="39">
        <f ca="1">IF(CN111&gt;CO110,CO110,-1)</f>
        <v>3.0550858095633942</v>
      </c>
      <c r="CP111" s="39">
        <f ca="1">IF(CO111=-1,1,0)</f>
        <v>0</v>
      </c>
      <c r="CQ111" s="39"/>
      <c r="CR111" s="39">
        <v>9</v>
      </c>
      <c r="CS111" s="39">
        <f ca="1">IF(CR111&gt;CS110,CS110,-1)</f>
        <v>3.305148573803649</v>
      </c>
      <c r="CT111" s="39">
        <f ca="1">IF(CS111=-1,1,0)</f>
        <v>0</v>
      </c>
      <c r="CU111" s="285"/>
      <c r="CX111" s="54"/>
    </row>
    <row r="112" spans="1:102">
      <c r="A112" s="335">
        <v>105</v>
      </c>
      <c r="B112" s="39" t="str">
        <f t="shared" si="12"/>
        <v>α lyr</v>
      </c>
      <c r="C112" s="39" t="str">
        <f t="shared" si="13"/>
        <v>μ 57</v>
      </c>
      <c r="F112" s="41" t="s">
        <v>3813</v>
      </c>
      <c r="G112" s="22">
        <v>14</v>
      </c>
      <c r="H112" s="22">
        <v>45</v>
      </c>
      <c r="I112" s="22">
        <v>14.5</v>
      </c>
      <c r="J112" s="22">
        <v>16</v>
      </c>
      <c r="K112" s="22">
        <v>57</v>
      </c>
      <c r="L112" s="22">
        <v>51</v>
      </c>
      <c r="M112" s="22" t="s">
        <v>3932</v>
      </c>
      <c r="N112" s="22" t="s">
        <v>3933</v>
      </c>
      <c r="R112" s="327" t="s">
        <v>2939</v>
      </c>
      <c r="S112" s="327" t="s">
        <v>2938</v>
      </c>
      <c r="T112" s="1" t="str">
        <f t="shared" si="32"/>
        <v>α</v>
      </c>
      <c r="U112" s="1" t="str">
        <f t="shared" si="33"/>
        <v>μ</v>
      </c>
      <c r="V112" s="59"/>
      <c r="X112" s="42" t="s">
        <v>3261</v>
      </c>
      <c r="Y112" s="42" t="s">
        <v>517</v>
      </c>
      <c r="AK112" s="67"/>
      <c r="AU112" s="82"/>
      <c r="BM112" s="266"/>
      <c r="BN112" s="1" t="s">
        <v>4035</v>
      </c>
      <c r="BO112" s="1">
        <f>BO108*BO103/BO104</f>
        <v>0.2364360211713096</v>
      </c>
      <c r="BT112" s="624" t="s">
        <v>4037</v>
      </c>
      <c r="BV112" s="266"/>
      <c r="BW112" s="272"/>
      <c r="BX112" s="643">
        <f ca="1">IF(BZ103=0,0,BX108)</f>
        <v>54</v>
      </c>
      <c r="BY112" s="39"/>
      <c r="BZ112" s="39"/>
      <c r="CA112" s="39"/>
      <c r="CB112" s="39">
        <v>8</v>
      </c>
      <c r="CC112" s="39">
        <f t="shared" ref="CC112:CC119" ca="1" si="34">IF(CB112&gt;CC111,CC111,-1)</f>
        <v>-1</v>
      </c>
      <c r="CD112" s="39">
        <f t="shared" ref="CD112:CD119" ca="1" si="35">IF(CC112=-1,1,0)</f>
        <v>1</v>
      </c>
      <c r="CE112" s="39"/>
      <c r="CF112" s="39">
        <v>8</v>
      </c>
      <c r="CG112" s="39">
        <f t="shared" ref="CG112:CG119" ca="1" si="36">IF(CF112&gt;CG111,CG111,-1)</f>
        <v>4.328514749355179</v>
      </c>
      <c r="CH112" s="39">
        <f t="shared" ref="CH112:CH119" ca="1" si="37">IF(CG112=-1,1,0)</f>
        <v>0</v>
      </c>
      <c r="CI112" s="272"/>
      <c r="CJ112" s="643">
        <f ca="1">IF(CL103=0,0,CJ108)</f>
        <v>3</v>
      </c>
      <c r="CK112" s="39"/>
      <c r="CL112" s="39"/>
      <c r="CM112" s="39"/>
      <c r="CN112" s="39">
        <v>8</v>
      </c>
      <c r="CO112" s="39">
        <f t="shared" ref="CO112:CO119" ca="1" si="38">IF(CN112&gt;CO111,CO111,-1)</f>
        <v>3.0550858095633942</v>
      </c>
      <c r="CP112" s="39">
        <f t="shared" ref="CP112:CP119" ca="1" si="39">IF(CO112=-1,1,0)</f>
        <v>0</v>
      </c>
      <c r="CQ112" s="39"/>
      <c r="CR112" s="39">
        <v>8</v>
      </c>
      <c r="CS112" s="39">
        <f t="shared" ref="CS112:CS119" ca="1" si="40">IF(CR112&gt;CS111,CS111,-1)</f>
        <v>3.305148573803649</v>
      </c>
      <c r="CT112" s="39">
        <f t="shared" ref="CT112:CT119" ca="1" si="41">IF(CS112=-1,1,0)</f>
        <v>0</v>
      </c>
      <c r="CU112" s="285"/>
      <c r="CX112" s="54"/>
    </row>
    <row r="113" spans="1:102">
      <c r="A113" s="335">
        <v>106</v>
      </c>
      <c r="B113" s="39" t="str">
        <f t="shared" si="12"/>
        <v>α lyr</v>
      </c>
      <c r="C113" s="39" t="str">
        <f t="shared" si="13"/>
        <v>μ 57</v>
      </c>
      <c r="F113" s="25" t="s">
        <v>1893</v>
      </c>
      <c r="G113" s="22">
        <v>14</v>
      </c>
      <c r="H113" s="22">
        <v>40</v>
      </c>
      <c r="I113" s="22">
        <v>43.6</v>
      </c>
      <c r="J113" s="22">
        <v>16</v>
      </c>
      <c r="K113" s="22">
        <v>25</v>
      </c>
      <c r="L113" s="22">
        <v>6</v>
      </c>
      <c r="M113" s="22" t="s">
        <v>215</v>
      </c>
      <c r="N113" s="22" t="s">
        <v>216</v>
      </c>
      <c r="R113" s="327" t="s">
        <v>2940</v>
      </c>
      <c r="S113" s="327" t="s">
        <v>2941</v>
      </c>
      <c r="T113" s="1" t="str">
        <f t="shared" si="32"/>
        <v>α</v>
      </c>
      <c r="U113" s="1" t="str">
        <f t="shared" si="33"/>
        <v>μ</v>
      </c>
      <c r="V113" s="59"/>
      <c r="X113" s="42" t="s">
        <v>3061</v>
      </c>
      <c r="Y113" s="42" t="s">
        <v>517</v>
      </c>
      <c r="AK113" s="67"/>
      <c r="AU113" s="82"/>
      <c r="BM113" s="266"/>
      <c r="BN113" s="622" t="s">
        <v>4036</v>
      </c>
      <c r="BO113" s="1">
        <f>BO108/BO104</f>
        <v>0.59413703822629027</v>
      </c>
      <c r="BT113" s="393" t="s">
        <v>4039</v>
      </c>
      <c r="BU113" s="62">
        <f ca="1">BU109</f>
        <v>0.54544510516770817</v>
      </c>
      <c r="BV113" s="266"/>
      <c r="BW113" s="272"/>
      <c r="BX113" s="643">
        <f ca="1">IF(BZ103=0,0,BX109)</f>
        <v>19.71088496131074</v>
      </c>
      <c r="BY113" s="39"/>
      <c r="BZ113" s="39"/>
      <c r="CA113" s="39"/>
      <c r="CB113" s="39">
        <v>7</v>
      </c>
      <c r="CC113" s="39">
        <f t="shared" ca="1" si="34"/>
        <v>-1</v>
      </c>
      <c r="CD113" s="39">
        <f t="shared" ca="1" si="35"/>
        <v>1</v>
      </c>
      <c r="CE113" s="39"/>
      <c r="CF113" s="39">
        <v>7</v>
      </c>
      <c r="CG113" s="39">
        <f t="shared" ca="1" si="36"/>
        <v>4.328514749355179</v>
      </c>
      <c r="CH113" s="39">
        <f t="shared" ca="1" si="37"/>
        <v>0</v>
      </c>
      <c r="CI113" s="272"/>
      <c r="CJ113" s="643">
        <f ca="1">IF(CL103=0,0,CJ109)</f>
        <v>18.308914428218941</v>
      </c>
      <c r="CK113" s="39"/>
      <c r="CL113" s="39"/>
      <c r="CM113" s="39"/>
      <c r="CN113" s="39">
        <v>7</v>
      </c>
      <c r="CO113" s="39">
        <f t="shared" ca="1" si="38"/>
        <v>3.0550858095633942</v>
      </c>
      <c r="CP113" s="39">
        <f t="shared" ca="1" si="39"/>
        <v>0</v>
      </c>
      <c r="CQ113" s="39"/>
      <c r="CR113" s="39">
        <v>7</v>
      </c>
      <c r="CS113" s="39">
        <f t="shared" ca="1" si="40"/>
        <v>3.305148573803649</v>
      </c>
      <c r="CT113" s="39">
        <f t="shared" ca="1" si="41"/>
        <v>0</v>
      </c>
      <c r="CU113" s="285"/>
      <c r="CX113" s="54"/>
    </row>
    <row r="114" spans="1:102">
      <c r="A114" s="335">
        <v>107</v>
      </c>
      <c r="B114" s="39" t="str">
        <f t="shared" si="12"/>
        <v>α lyr</v>
      </c>
      <c r="C114" s="39" t="str">
        <f t="shared" si="13"/>
        <v>μ 57</v>
      </c>
      <c r="F114" s="41" t="s">
        <v>3814</v>
      </c>
      <c r="G114" s="22">
        <v>14</v>
      </c>
      <c r="H114" s="22">
        <v>31</v>
      </c>
      <c r="I114" s="22">
        <v>49.8</v>
      </c>
      <c r="J114" s="22">
        <v>30</v>
      </c>
      <c r="K114" s="22">
        <v>22</v>
      </c>
      <c r="L114" s="22">
        <v>17</v>
      </c>
      <c r="M114" s="22" t="s">
        <v>3934</v>
      </c>
      <c r="N114" s="22" t="s">
        <v>3935</v>
      </c>
      <c r="R114" s="327" t="s">
        <v>2942</v>
      </c>
      <c r="S114" s="327" t="s">
        <v>2941</v>
      </c>
      <c r="T114" s="1" t="str">
        <f t="shared" si="32"/>
        <v>α</v>
      </c>
      <c r="U114" s="1" t="str">
        <f t="shared" si="33"/>
        <v>μ</v>
      </c>
      <c r="V114" s="59"/>
      <c r="X114" s="42" t="s">
        <v>3262</v>
      </c>
      <c r="Y114" s="42" t="s">
        <v>543</v>
      </c>
      <c r="AK114" s="67"/>
      <c r="AU114" s="82"/>
      <c r="BM114" s="266"/>
      <c r="BN114" s="1" t="s">
        <v>4038</v>
      </c>
      <c r="BO114" s="1">
        <f>BO111+BO112</f>
        <v>-0.57914538331660059</v>
      </c>
      <c r="BT114" s="393" t="s">
        <v>4041</v>
      </c>
      <c r="BU114" s="1">
        <f ca="1">SQRT(1-(BU113*BU113))</f>
        <v>0.83814654878999995</v>
      </c>
      <c r="BV114" s="266"/>
      <c r="BW114" s="272"/>
      <c r="BX114" s="39" t="s">
        <v>2773</v>
      </c>
      <c r="BY114" s="39"/>
      <c r="BZ114" s="39"/>
      <c r="CA114" s="39"/>
      <c r="CB114" s="39">
        <v>6</v>
      </c>
      <c r="CC114" s="39">
        <f t="shared" ca="1" si="34"/>
        <v>-1</v>
      </c>
      <c r="CD114" s="39">
        <f t="shared" ca="1" si="35"/>
        <v>1</v>
      </c>
      <c r="CE114" s="39"/>
      <c r="CF114" s="39">
        <v>6</v>
      </c>
      <c r="CG114" s="39">
        <f t="shared" ca="1" si="36"/>
        <v>4.328514749355179</v>
      </c>
      <c r="CH114" s="39">
        <f t="shared" ca="1" si="37"/>
        <v>0</v>
      </c>
      <c r="CI114" s="272"/>
      <c r="CJ114" s="39" t="s">
        <v>2773</v>
      </c>
      <c r="CK114" s="39"/>
      <c r="CL114" s="39"/>
      <c r="CM114" s="39"/>
      <c r="CN114" s="39">
        <v>6</v>
      </c>
      <c r="CO114" s="39">
        <f t="shared" ca="1" si="38"/>
        <v>3.0550858095633942</v>
      </c>
      <c r="CP114" s="39">
        <f t="shared" ca="1" si="39"/>
        <v>0</v>
      </c>
      <c r="CQ114" s="39"/>
      <c r="CR114" s="39">
        <v>6</v>
      </c>
      <c r="CS114" s="39">
        <f t="shared" ca="1" si="40"/>
        <v>3.305148573803649</v>
      </c>
      <c r="CT114" s="39">
        <f t="shared" ca="1" si="41"/>
        <v>0</v>
      </c>
      <c r="CU114" s="285"/>
      <c r="CX114" s="54"/>
    </row>
    <row r="115" spans="1:102">
      <c r="A115" s="335">
        <v>108</v>
      </c>
      <c r="B115" s="39" t="str">
        <f t="shared" si="12"/>
        <v>α lyr</v>
      </c>
      <c r="C115" s="39" t="str">
        <f t="shared" si="13"/>
        <v>μ 57</v>
      </c>
      <c r="F115" s="41" t="s">
        <v>3815</v>
      </c>
      <c r="G115" s="22">
        <v>13</v>
      </c>
      <c r="H115" s="22">
        <v>34</v>
      </c>
      <c r="I115" s="22">
        <v>40.799999999999997</v>
      </c>
      <c r="J115" s="22">
        <v>29</v>
      </c>
      <c r="K115" s="22">
        <v>44</v>
      </c>
      <c r="L115" s="22">
        <v>42</v>
      </c>
      <c r="M115" s="22" t="s">
        <v>3936</v>
      </c>
      <c r="N115" s="22" t="s">
        <v>3937</v>
      </c>
      <c r="R115" s="327" t="s">
        <v>2943</v>
      </c>
      <c r="S115" s="327" t="s">
        <v>2941</v>
      </c>
      <c r="T115" s="1" t="str">
        <f t="shared" si="32"/>
        <v>α</v>
      </c>
      <c r="U115" s="1" t="str">
        <f t="shared" si="33"/>
        <v>μ</v>
      </c>
      <c r="V115" s="59"/>
      <c r="X115" s="42" t="s">
        <v>3263</v>
      </c>
      <c r="Y115" s="42" t="s">
        <v>543</v>
      </c>
      <c r="AK115" s="67"/>
      <c r="AU115" s="82"/>
      <c r="BM115" s="266"/>
      <c r="BN115" s="1" t="s">
        <v>4040</v>
      </c>
      <c r="BO115" s="1">
        <f>BO114*BO103</f>
        <v>-0.23047011261896258</v>
      </c>
      <c r="BT115" s="1" t="s">
        <v>4043</v>
      </c>
      <c r="BU115" s="625">
        <f ca="1">BU108*BU97</f>
        <v>0.23660051382492614</v>
      </c>
      <c r="BV115" s="266"/>
      <c r="BW115" s="272"/>
      <c r="BX115" s="93">
        <f ca="1">IF(BZ117=4,"  -0",BX111)</f>
        <v>18</v>
      </c>
      <c r="BY115" s="39" t="s">
        <v>2774</v>
      </c>
      <c r="BZ115" s="39">
        <f ca="1">IF(BX111=0,2,0)</f>
        <v>0</v>
      </c>
      <c r="CA115" s="39"/>
      <c r="CB115" s="39">
        <v>5</v>
      </c>
      <c r="CC115" s="39">
        <f t="shared" ca="1" si="34"/>
        <v>-1</v>
      </c>
      <c r="CD115" s="39">
        <f t="shared" ca="1" si="35"/>
        <v>1</v>
      </c>
      <c r="CE115" s="39"/>
      <c r="CF115" s="39">
        <v>5</v>
      </c>
      <c r="CG115" s="39">
        <f t="shared" ca="1" si="36"/>
        <v>4.328514749355179</v>
      </c>
      <c r="CH115" s="39">
        <f t="shared" ca="1" si="37"/>
        <v>0</v>
      </c>
      <c r="CI115" s="272"/>
      <c r="CJ115" s="93">
        <f ca="1">IF(CL117=4,"  -0",CJ111)</f>
        <v>33</v>
      </c>
      <c r="CK115" s="39" t="s">
        <v>2774</v>
      </c>
      <c r="CL115" s="39">
        <f ca="1">IF(CJ111=0,2,0)</f>
        <v>0</v>
      </c>
      <c r="CM115" s="39"/>
      <c r="CN115" s="39">
        <v>5</v>
      </c>
      <c r="CO115" s="39">
        <f t="shared" ca="1" si="38"/>
        <v>3.0550858095633942</v>
      </c>
      <c r="CP115" s="39">
        <f t="shared" ca="1" si="39"/>
        <v>0</v>
      </c>
      <c r="CQ115" s="39"/>
      <c r="CR115" s="39">
        <v>5</v>
      </c>
      <c r="CS115" s="39">
        <f t="shared" ca="1" si="40"/>
        <v>3.305148573803649</v>
      </c>
      <c r="CT115" s="39">
        <f t="shared" ca="1" si="41"/>
        <v>0</v>
      </c>
      <c r="CU115" s="285"/>
      <c r="CX115" s="54"/>
    </row>
    <row r="116" spans="1:102">
      <c r="A116" s="335">
        <v>109</v>
      </c>
      <c r="B116" s="39" t="str">
        <f t="shared" si="12"/>
        <v>α lyr</v>
      </c>
      <c r="C116" s="39" t="str">
        <f t="shared" si="13"/>
        <v>μ 57</v>
      </c>
      <c r="F116" s="41" t="s">
        <v>3816</v>
      </c>
      <c r="G116" s="22">
        <v>13</v>
      </c>
      <c r="H116" s="22">
        <v>47</v>
      </c>
      <c r="I116" s="22">
        <v>15.7</v>
      </c>
      <c r="J116" s="22">
        <v>17</v>
      </c>
      <c r="K116" s="22">
        <v>27</v>
      </c>
      <c r="L116" s="22">
        <v>25</v>
      </c>
      <c r="M116" s="22" t="s">
        <v>3938</v>
      </c>
      <c r="N116" s="22" t="s">
        <v>3939</v>
      </c>
      <c r="R116" s="327" t="s">
        <v>2944</v>
      </c>
      <c r="S116" s="327" t="s">
        <v>2945</v>
      </c>
      <c r="T116" s="1" t="str">
        <f t="shared" si="32"/>
        <v>α</v>
      </c>
      <c r="U116" s="1" t="str">
        <f t="shared" si="33"/>
        <v>μ</v>
      </c>
      <c r="V116" s="59"/>
      <c r="X116" s="42" t="s">
        <v>3264</v>
      </c>
      <c r="Y116" s="42" t="s">
        <v>543</v>
      </c>
      <c r="AK116" s="67"/>
      <c r="AU116" s="82"/>
      <c r="BM116" s="266"/>
      <c r="BN116" s="1" t="s">
        <v>4042</v>
      </c>
      <c r="BO116" s="1">
        <f>BO113-BO115</f>
        <v>0.82460715084525282</v>
      </c>
      <c r="BT116" s="1" t="s">
        <v>4045</v>
      </c>
      <c r="BU116" s="1">
        <f ca="1">BU106-BU115</f>
        <v>-0.81470719153430138</v>
      </c>
      <c r="BV116" s="266"/>
      <c r="BW116" s="272"/>
      <c r="BX116" s="93">
        <f ca="1">CH131</f>
        <v>54</v>
      </c>
      <c r="BY116" s="39"/>
      <c r="BZ116" s="39">
        <f ca="1">BZ102</f>
        <v>1</v>
      </c>
      <c r="CA116" s="39"/>
      <c r="CB116" s="39">
        <v>4</v>
      </c>
      <c r="CC116" s="39">
        <f t="shared" ca="1" si="34"/>
        <v>-1</v>
      </c>
      <c r="CD116" s="39">
        <f t="shared" ca="1" si="35"/>
        <v>1</v>
      </c>
      <c r="CE116" s="39"/>
      <c r="CF116" s="39">
        <v>4</v>
      </c>
      <c r="CG116" s="39">
        <f t="shared" ca="1" si="36"/>
        <v>-1</v>
      </c>
      <c r="CH116" s="39">
        <f t="shared" ca="1" si="37"/>
        <v>1</v>
      </c>
      <c r="CI116" s="272"/>
      <c r="CJ116" s="93">
        <f ca="1">CT131</f>
        <v>3</v>
      </c>
      <c r="CK116" s="39"/>
      <c r="CL116" s="39">
        <f ca="1">CL102</f>
        <v>1</v>
      </c>
      <c r="CM116" s="39"/>
      <c r="CN116" s="39">
        <v>4</v>
      </c>
      <c r="CO116" s="39">
        <f t="shared" ca="1" si="38"/>
        <v>3.0550858095633942</v>
      </c>
      <c r="CP116" s="39">
        <f t="shared" ca="1" si="39"/>
        <v>0</v>
      </c>
      <c r="CQ116" s="39"/>
      <c r="CR116" s="39">
        <v>4</v>
      </c>
      <c r="CS116" s="39">
        <f t="shared" ca="1" si="40"/>
        <v>3.305148573803649</v>
      </c>
      <c r="CT116" s="39">
        <f t="shared" ca="1" si="41"/>
        <v>0</v>
      </c>
      <c r="CU116" s="285"/>
      <c r="CX116" s="54"/>
    </row>
    <row r="117" spans="1:102">
      <c r="A117" s="335">
        <v>110</v>
      </c>
      <c r="B117" s="39" t="str">
        <f t="shared" si="12"/>
        <v>α lyr</v>
      </c>
      <c r="C117" s="39" t="str">
        <f t="shared" si="13"/>
        <v>μ 57</v>
      </c>
      <c r="F117" s="41" t="s">
        <v>3817</v>
      </c>
      <c r="G117" s="22">
        <v>13</v>
      </c>
      <c r="H117" s="22">
        <v>49</v>
      </c>
      <c r="I117" s="22">
        <v>28.6</v>
      </c>
      <c r="J117" s="22">
        <v>15</v>
      </c>
      <c r="K117" s="22">
        <v>47</v>
      </c>
      <c r="L117" s="22">
        <v>52</v>
      </c>
      <c r="M117" s="22" t="s">
        <v>3940</v>
      </c>
      <c r="N117" s="22" t="s">
        <v>3941</v>
      </c>
      <c r="R117" s="327" t="s">
        <v>2946</v>
      </c>
      <c r="S117" s="327" t="s">
        <v>2945</v>
      </c>
      <c r="T117" s="1" t="str">
        <f t="shared" si="32"/>
        <v>α</v>
      </c>
      <c r="U117" s="1" t="str">
        <f t="shared" si="33"/>
        <v>μ</v>
      </c>
      <c r="V117" s="59"/>
      <c r="X117" s="42" t="s">
        <v>3057</v>
      </c>
      <c r="Y117" s="42" t="s">
        <v>543</v>
      </c>
      <c r="AK117" s="67"/>
      <c r="AU117" s="82"/>
      <c r="BM117" s="266"/>
      <c r="BN117" s="1" t="s">
        <v>4044</v>
      </c>
      <c r="BT117" s="393" t="s">
        <v>4047</v>
      </c>
      <c r="BU117" s="1">
        <f ca="1">IF(BU113=1,0.000000000001,BU114)</f>
        <v>0.83814654878999995</v>
      </c>
      <c r="BV117" s="266"/>
      <c r="BW117" s="272"/>
      <c r="BX117" s="93">
        <f ca="1">CH132</f>
        <v>19.71088496131074</v>
      </c>
      <c r="BY117" s="39"/>
      <c r="BZ117" s="39">
        <f ca="1">BZ116+BZ115</f>
        <v>1</v>
      </c>
      <c r="CA117" s="39"/>
      <c r="CB117" s="39">
        <v>3</v>
      </c>
      <c r="CC117" s="39">
        <f t="shared" ca="1" si="34"/>
        <v>-1</v>
      </c>
      <c r="CD117" s="39">
        <f t="shared" ca="1" si="35"/>
        <v>1</v>
      </c>
      <c r="CE117" s="39"/>
      <c r="CF117" s="39">
        <v>3</v>
      </c>
      <c r="CG117" s="39">
        <f t="shared" ca="1" si="36"/>
        <v>-1</v>
      </c>
      <c r="CH117" s="39">
        <f t="shared" ca="1" si="37"/>
        <v>1</v>
      </c>
      <c r="CI117" s="272"/>
      <c r="CJ117" s="93">
        <f ca="1">CT132</f>
        <v>18.308914428218941</v>
      </c>
      <c r="CK117" s="39"/>
      <c r="CL117" s="39">
        <f ca="1">CL116+CL115</f>
        <v>1</v>
      </c>
      <c r="CM117" s="39"/>
      <c r="CN117" s="39">
        <v>3</v>
      </c>
      <c r="CO117" s="39">
        <f t="shared" ca="1" si="38"/>
        <v>-1</v>
      </c>
      <c r="CP117" s="39">
        <f t="shared" ca="1" si="39"/>
        <v>1</v>
      </c>
      <c r="CQ117" s="39"/>
      <c r="CR117" s="39">
        <v>3</v>
      </c>
      <c r="CS117" s="39">
        <f t="shared" ca="1" si="40"/>
        <v>-1</v>
      </c>
      <c r="CT117" s="39">
        <f t="shared" ca="1" si="41"/>
        <v>1</v>
      </c>
      <c r="CU117" s="285"/>
      <c r="CX117" s="54"/>
    </row>
    <row r="118" spans="1:102">
      <c r="A118" s="335">
        <v>111</v>
      </c>
      <c r="B118" s="39" t="str">
        <f t="shared" si="12"/>
        <v>α lyr</v>
      </c>
      <c r="C118" s="39" t="str">
        <f t="shared" si="13"/>
        <v>μ 57</v>
      </c>
      <c r="F118" s="27" t="s">
        <v>218</v>
      </c>
      <c r="G118" s="26"/>
      <c r="H118" s="26"/>
      <c r="I118" s="26"/>
      <c r="J118" s="26"/>
      <c r="K118" s="26"/>
      <c r="L118" s="26"/>
      <c r="M118" s="26" t="s">
        <v>217</v>
      </c>
      <c r="N118" s="26" t="s">
        <v>218</v>
      </c>
      <c r="R118" s="327" t="s">
        <v>2947</v>
      </c>
      <c r="S118" s="327" t="s">
        <v>2945</v>
      </c>
      <c r="T118" s="1" t="str">
        <f t="shared" si="32"/>
        <v>α</v>
      </c>
      <c r="U118" s="1" t="str">
        <f t="shared" si="33"/>
        <v>μ</v>
      </c>
      <c r="V118" s="59"/>
      <c r="X118" s="42" t="s">
        <v>3265</v>
      </c>
      <c r="Y118" s="42" t="s">
        <v>3072</v>
      </c>
      <c r="AK118" s="67"/>
      <c r="AU118" s="82"/>
      <c r="BM118" s="266"/>
      <c r="BN118" s="1" t="s">
        <v>4046</v>
      </c>
      <c r="BT118" s="393" t="s">
        <v>4049</v>
      </c>
      <c r="BU118" s="1">
        <f ca="1">IF(BU113=-1,-0.000000000001,BU117)</f>
        <v>0.83814654878999995</v>
      </c>
      <c r="BV118" s="266"/>
      <c r="BW118" s="272"/>
      <c r="BX118" s="278" t="s">
        <v>4106</v>
      </c>
      <c r="BY118" s="39"/>
      <c r="BZ118" s="39"/>
      <c r="CA118" s="39"/>
      <c r="CB118" s="39">
        <v>2</v>
      </c>
      <c r="CC118" s="39">
        <f t="shared" ca="1" si="34"/>
        <v>-1</v>
      </c>
      <c r="CD118" s="39">
        <f t="shared" ca="1" si="35"/>
        <v>1</v>
      </c>
      <c r="CE118" s="39"/>
      <c r="CF118" s="39">
        <v>2</v>
      </c>
      <c r="CG118" s="39">
        <f t="shared" ca="1" si="36"/>
        <v>-1</v>
      </c>
      <c r="CH118" s="39">
        <f t="shared" ca="1" si="37"/>
        <v>1</v>
      </c>
      <c r="CI118" s="272"/>
      <c r="CJ118" s="278" t="s">
        <v>4106</v>
      </c>
      <c r="CK118" s="39"/>
      <c r="CL118" s="39"/>
      <c r="CM118" s="39"/>
      <c r="CN118" s="39">
        <v>2</v>
      </c>
      <c r="CO118" s="39">
        <f t="shared" ca="1" si="38"/>
        <v>-1</v>
      </c>
      <c r="CP118" s="39">
        <f t="shared" ca="1" si="39"/>
        <v>1</v>
      </c>
      <c r="CQ118" s="39"/>
      <c r="CR118" s="39">
        <v>2</v>
      </c>
      <c r="CS118" s="39">
        <f t="shared" ca="1" si="40"/>
        <v>-1</v>
      </c>
      <c r="CT118" s="39">
        <f t="shared" ca="1" si="41"/>
        <v>1</v>
      </c>
      <c r="CU118" s="285"/>
      <c r="CX118" s="54"/>
    </row>
    <row r="119" spans="1:102">
      <c r="A119" s="335">
        <v>112</v>
      </c>
      <c r="B119" s="39" t="str">
        <f t="shared" si="12"/>
        <v>α lyr</v>
      </c>
      <c r="C119" s="39" t="str">
        <f t="shared" si="13"/>
        <v>μ 57</v>
      </c>
      <c r="F119" s="27" t="s">
        <v>1894</v>
      </c>
      <c r="G119" s="26"/>
      <c r="H119" s="26"/>
      <c r="I119" s="26"/>
      <c r="J119" s="26"/>
      <c r="K119" s="26"/>
      <c r="L119" s="26"/>
      <c r="M119" s="26" t="s">
        <v>219</v>
      </c>
      <c r="N119" s="26" t="s">
        <v>220</v>
      </c>
      <c r="R119" s="327" t="s">
        <v>2948</v>
      </c>
      <c r="S119" s="327" t="s">
        <v>2949</v>
      </c>
      <c r="T119" s="1" t="str">
        <f t="shared" si="32"/>
        <v>α</v>
      </c>
      <c r="U119" s="1" t="str">
        <f t="shared" si="33"/>
        <v>μ</v>
      </c>
      <c r="V119" s="59"/>
      <c r="X119" s="42" t="s">
        <v>3266</v>
      </c>
      <c r="Y119" s="42" t="s">
        <v>3072</v>
      </c>
      <c r="AK119" s="67"/>
      <c r="AU119" s="82"/>
      <c r="BM119" s="266"/>
      <c r="BN119" s="63" t="s">
        <v>4048</v>
      </c>
      <c r="BO119" s="623">
        <f>DEGREES(ASIN(RADIANS(DEGREES(BO116))))</f>
        <v>55.548682644571834</v>
      </c>
      <c r="BT119" s="1" t="s">
        <v>4050</v>
      </c>
      <c r="BU119" s="266">
        <f ca="1">BU116/BU118</f>
        <v>-0.97203429723651902</v>
      </c>
      <c r="BV119" s="266"/>
      <c r="BW119" s="272"/>
      <c r="BX119" s="91">
        <f ca="1">IF(BZ119=0,"",BX115)</f>
        <v>18</v>
      </c>
      <c r="BY119" s="39"/>
      <c r="BZ119" s="39">
        <f>BZ107</f>
        <v>51.922250000000005</v>
      </c>
      <c r="CA119" s="39"/>
      <c r="CB119" s="39">
        <v>1</v>
      </c>
      <c r="CC119" s="39">
        <f t="shared" ca="1" si="34"/>
        <v>-1</v>
      </c>
      <c r="CD119" s="39">
        <f t="shared" ca="1" si="35"/>
        <v>1</v>
      </c>
      <c r="CE119" s="39"/>
      <c r="CF119" s="39">
        <v>1</v>
      </c>
      <c r="CG119" s="39">
        <f t="shared" ca="1" si="36"/>
        <v>-1</v>
      </c>
      <c r="CH119" s="39">
        <f t="shared" ca="1" si="37"/>
        <v>1</v>
      </c>
      <c r="CI119" s="272"/>
      <c r="CJ119" s="91">
        <f ca="1">IF(CL119=0,"",CJ115)</f>
        <v>33</v>
      </c>
      <c r="CK119" s="39"/>
      <c r="CL119" s="39">
        <f>BZ107</f>
        <v>51.922250000000005</v>
      </c>
      <c r="CM119" s="39"/>
      <c r="CN119" s="39">
        <v>1</v>
      </c>
      <c r="CO119" s="39">
        <f t="shared" ca="1" si="38"/>
        <v>-1</v>
      </c>
      <c r="CP119" s="39">
        <f t="shared" ca="1" si="39"/>
        <v>1</v>
      </c>
      <c r="CQ119" s="39"/>
      <c r="CR119" s="39">
        <v>1</v>
      </c>
      <c r="CS119" s="39">
        <f t="shared" ca="1" si="40"/>
        <v>-1</v>
      </c>
      <c r="CT119" s="39">
        <f t="shared" ca="1" si="41"/>
        <v>1</v>
      </c>
      <c r="CU119" s="285"/>
      <c r="CX119" s="54"/>
    </row>
    <row r="120" spans="1:102">
      <c r="A120" s="335">
        <v>113</v>
      </c>
      <c r="B120" s="39" t="str">
        <f t="shared" si="12"/>
        <v>α lyr</v>
      </c>
      <c r="C120" s="39" t="str">
        <f t="shared" si="13"/>
        <v>μ 57</v>
      </c>
      <c r="F120" s="27" t="s">
        <v>1895</v>
      </c>
      <c r="G120" s="26"/>
      <c r="H120" s="26"/>
      <c r="I120" s="26"/>
      <c r="J120" s="26"/>
      <c r="K120" s="26"/>
      <c r="L120" s="26"/>
      <c r="M120" s="26" t="s">
        <v>221</v>
      </c>
      <c r="N120" s="26" t="s">
        <v>222</v>
      </c>
      <c r="R120" s="327" t="s">
        <v>2950</v>
      </c>
      <c r="S120" s="327" t="s">
        <v>2949</v>
      </c>
      <c r="T120" s="1" t="str">
        <f t="shared" si="32"/>
        <v>α</v>
      </c>
      <c r="U120" s="1" t="str">
        <f t="shared" si="33"/>
        <v>μ</v>
      </c>
      <c r="V120" s="59"/>
      <c r="X120" s="42" t="s">
        <v>3267</v>
      </c>
      <c r="Y120" s="42" t="s">
        <v>591</v>
      </c>
      <c r="AK120" s="67"/>
      <c r="AU120" s="82"/>
      <c r="BM120" s="266"/>
      <c r="BO120" s="626"/>
      <c r="BT120" s="393" t="s">
        <v>4052</v>
      </c>
      <c r="BU120" s="1">
        <f ca="1">IF(BU119&gt;0.999999999999,1,BU119)</f>
        <v>-0.97203429723651902</v>
      </c>
      <c r="BV120" s="266"/>
      <c r="BW120" s="272"/>
      <c r="BX120" s="91">
        <f t="shared" ref="BX120:BX121" ca="1" si="42">IF(BZ120=0,"",BX116)</f>
        <v>54</v>
      </c>
      <c r="BY120" s="39"/>
      <c r="BZ120" s="39">
        <f>BZ107</f>
        <v>51.922250000000005</v>
      </c>
      <c r="CA120" s="39"/>
      <c r="CB120" s="39"/>
      <c r="CC120" s="39"/>
      <c r="CD120" s="279">
        <f ca="1">SUM(CD111:CD119)</f>
        <v>8</v>
      </c>
      <c r="CE120" s="39"/>
      <c r="CF120" s="39"/>
      <c r="CG120" s="39"/>
      <c r="CH120" s="279">
        <f ca="1">SUM(CH111:CH119)</f>
        <v>4</v>
      </c>
      <c r="CI120" s="272"/>
      <c r="CJ120" s="91">
        <f t="shared" ref="CJ120:CJ121" ca="1" si="43">IF(CL120=0,"",CJ116)</f>
        <v>3</v>
      </c>
      <c r="CK120" s="39"/>
      <c r="CL120" s="39">
        <f>BZ107</f>
        <v>51.922250000000005</v>
      </c>
      <c r="CM120" s="39"/>
      <c r="CN120" s="39"/>
      <c r="CO120" s="39"/>
      <c r="CP120" s="279">
        <f ca="1">SUM(CP111:CP119)</f>
        <v>3</v>
      </c>
      <c r="CQ120" s="39"/>
      <c r="CR120" s="39"/>
      <c r="CS120" s="39"/>
      <c r="CT120" s="279">
        <f ca="1">SUM(CT111:CT119)</f>
        <v>3</v>
      </c>
      <c r="CU120" s="285"/>
      <c r="CX120" s="54"/>
    </row>
    <row r="121" spans="1:102">
      <c r="A121" s="335">
        <v>114</v>
      </c>
      <c r="B121" s="39" t="str">
        <f t="shared" si="12"/>
        <v>α lyr</v>
      </c>
      <c r="C121" s="39" t="str">
        <f t="shared" si="13"/>
        <v>μ 57</v>
      </c>
      <c r="F121" s="25" t="s">
        <v>1896</v>
      </c>
      <c r="G121" s="22">
        <v>23</v>
      </c>
      <c r="H121" s="22">
        <v>18</v>
      </c>
      <c r="I121" s="22">
        <v>49.4</v>
      </c>
      <c r="J121" s="22">
        <v>-32</v>
      </c>
      <c r="K121" s="22">
        <v>-31</v>
      </c>
      <c r="L121" s="22">
        <v>-55</v>
      </c>
      <c r="M121" s="22" t="s">
        <v>223</v>
      </c>
      <c r="N121" s="22" t="s">
        <v>224</v>
      </c>
      <c r="R121" s="327" t="s">
        <v>2951</v>
      </c>
      <c r="S121" s="327" t="s">
        <v>2952</v>
      </c>
      <c r="T121" s="1" t="str">
        <f t="shared" si="32"/>
        <v>α</v>
      </c>
      <c r="U121" s="1" t="str">
        <f t="shared" si="33"/>
        <v>μ</v>
      </c>
      <c r="V121" s="59"/>
      <c r="X121" s="42" t="s">
        <v>3268</v>
      </c>
      <c r="Y121" s="42" t="s">
        <v>591</v>
      </c>
      <c r="AK121" s="67"/>
      <c r="AU121" s="82"/>
      <c r="BM121" s="266"/>
      <c r="BN121" s="624" t="s">
        <v>4051</v>
      </c>
      <c r="BT121" s="393" t="s">
        <v>4054</v>
      </c>
      <c r="BU121" s="1">
        <f ca="1">IF(BU120&lt;-0.999999999999,-1,BU120)</f>
        <v>-0.97203429723651902</v>
      </c>
      <c r="BV121" s="266"/>
      <c r="BW121" s="272"/>
      <c r="BX121" s="91">
        <f t="shared" ca="1" si="42"/>
        <v>19.71088496131074</v>
      </c>
      <c r="BY121" s="39"/>
      <c r="BZ121" s="39">
        <f>BZ107</f>
        <v>51.922250000000005</v>
      </c>
      <c r="CA121" s="39"/>
      <c r="CD121" s="82">
        <f ca="1">CD120+CD108</f>
        <v>18</v>
      </c>
      <c r="CI121" s="272"/>
      <c r="CJ121" s="91">
        <f t="shared" ca="1" si="43"/>
        <v>18.308914428218941</v>
      </c>
      <c r="CK121" s="39"/>
      <c r="CL121" s="39">
        <f>BZ107</f>
        <v>51.922250000000005</v>
      </c>
      <c r="CM121" s="39"/>
      <c r="CP121" s="82">
        <f ca="1">CP120+CP108</f>
        <v>33</v>
      </c>
      <c r="CU121" s="285"/>
      <c r="CX121" s="54"/>
    </row>
    <row r="122" spans="1:102">
      <c r="A122" s="335">
        <v>115</v>
      </c>
      <c r="B122" s="39" t="str">
        <f t="shared" si="12"/>
        <v>α lyr</v>
      </c>
      <c r="C122" s="39" t="str">
        <f t="shared" si="13"/>
        <v>μ 57</v>
      </c>
      <c r="F122" s="25" t="s">
        <v>1897</v>
      </c>
      <c r="G122" s="22">
        <v>23</v>
      </c>
      <c r="H122" s="22">
        <v>48</v>
      </c>
      <c r="I122" s="22">
        <v>55.5</v>
      </c>
      <c r="J122" s="22">
        <v>-28</v>
      </c>
      <c r="K122" s="22">
        <v>-7</v>
      </c>
      <c r="L122" s="22">
        <v>-50</v>
      </c>
      <c r="M122" s="22" t="s">
        <v>225</v>
      </c>
      <c r="N122" s="22" t="s">
        <v>226</v>
      </c>
      <c r="R122" s="327" t="s">
        <v>2953</v>
      </c>
      <c r="S122" s="327" t="s">
        <v>2952</v>
      </c>
      <c r="T122" s="1" t="str">
        <f t="shared" si="32"/>
        <v>α</v>
      </c>
      <c r="U122" s="1" t="str">
        <f t="shared" si="33"/>
        <v>μ</v>
      </c>
      <c r="V122" s="59"/>
      <c r="X122" s="42" t="s">
        <v>3269</v>
      </c>
      <c r="Y122" s="42" t="s">
        <v>591</v>
      </c>
      <c r="AK122" s="67"/>
      <c r="AU122" s="82"/>
      <c r="BM122" s="266"/>
      <c r="BN122" s="393" t="s">
        <v>4053</v>
      </c>
      <c r="BO122" s="1">
        <f>BO116</f>
        <v>0.82460715084525282</v>
      </c>
      <c r="BT122" s="1" t="s">
        <v>4056</v>
      </c>
      <c r="BU122" s="627">
        <f ca="1">DEGREES(ASIN(RADIANS(DEGREES(BU121))))</f>
        <v>-76.417871312661205</v>
      </c>
      <c r="BV122" s="266"/>
      <c r="BW122" s="272"/>
      <c r="BX122" s="39"/>
      <c r="BY122" s="39"/>
      <c r="BZ122" s="39"/>
      <c r="CA122" s="39"/>
      <c r="CB122" s="39"/>
      <c r="CC122" s="39"/>
      <c r="CD122" s="274">
        <f ca="1">CC110-CD120</f>
        <v>0.90547524582258632</v>
      </c>
      <c r="CE122" s="281">
        <f ca="1">CD122*60</f>
        <v>54.328514749355179</v>
      </c>
      <c r="CF122" s="39"/>
      <c r="CG122" s="39"/>
      <c r="CH122" s="280">
        <f ca="1">CG110-CH120</f>
        <v>0.32851474935517899</v>
      </c>
      <c r="CI122" s="272"/>
      <c r="CJ122" s="39"/>
      <c r="CK122" s="39"/>
      <c r="CL122" s="39"/>
      <c r="CM122" s="39"/>
      <c r="CN122" s="39"/>
      <c r="CO122" s="39"/>
      <c r="CP122" s="274">
        <f ca="1">CO110-CP120</f>
        <v>5.508580956339415E-2</v>
      </c>
      <c r="CQ122" s="281">
        <f ca="1">CP122*60</f>
        <v>3.305148573803649</v>
      </c>
      <c r="CR122" s="39"/>
      <c r="CS122" s="39"/>
      <c r="CT122" s="280">
        <f ca="1">CS110-CT120</f>
        <v>0.30514857380364901</v>
      </c>
      <c r="CU122" s="285"/>
      <c r="CX122" s="54"/>
    </row>
    <row r="123" spans="1:102">
      <c r="A123" s="335">
        <v>116</v>
      </c>
      <c r="B123" s="39" t="str">
        <f t="shared" si="12"/>
        <v>α lyr</v>
      </c>
      <c r="C123" s="39" t="str">
        <f t="shared" si="13"/>
        <v>μ 57</v>
      </c>
      <c r="F123" s="27" t="s">
        <v>1898</v>
      </c>
      <c r="G123" s="26"/>
      <c r="H123" s="26"/>
      <c r="I123" s="26"/>
      <c r="J123" s="26"/>
      <c r="K123" s="26"/>
      <c r="L123" s="26"/>
      <c r="M123" s="26" t="s">
        <v>227</v>
      </c>
      <c r="N123" s="26" t="s">
        <v>228</v>
      </c>
      <c r="R123" s="327" t="s">
        <v>2954</v>
      </c>
      <c r="S123" s="327" t="s">
        <v>2955</v>
      </c>
      <c r="T123" s="1" t="str">
        <f t="shared" si="32"/>
        <v>α</v>
      </c>
      <c r="U123" s="1" t="str">
        <f t="shared" si="33"/>
        <v>μ</v>
      </c>
      <c r="V123" s="59"/>
      <c r="X123" s="42" t="s">
        <v>3073</v>
      </c>
      <c r="Y123" s="42" t="s">
        <v>591</v>
      </c>
      <c r="AK123" s="67"/>
      <c r="AU123" s="82"/>
      <c r="BM123" s="266"/>
      <c r="BN123" s="393" t="s">
        <v>4055</v>
      </c>
      <c r="BO123" s="1">
        <f>SQRT(1-(BO122*BO122))</f>
        <v>0.5657057952459692</v>
      </c>
      <c r="BT123" s="1" t="s">
        <v>4058</v>
      </c>
      <c r="BU123" s="628">
        <f ca="1">BU122/15</f>
        <v>-5.0945247541774137</v>
      </c>
      <c r="BV123" s="266"/>
      <c r="BW123" s="272"/>
      <c r="BX123" s="39"/>
      <c r="BY123" s="39"/>
      <c r="BZ123" s="39"/>
      <c r="CA123" s="39"/>
      <c r="CB123" s="39" t="s">
        <v>2775</v>
      </c>
      <c r="CC123" s="39"/>
      <c r="CD123" s="39"/>
      <c r="CE123" s="39"/>
      <c r="CF123" s="39" t="s">
        <v>2776</v>
      </c>
      <c r="CG123" s="39"/>
      <c r="CH123" s="39">
        <f ca="1">CG98-CH122</f>
        <v>54</v>
      </c>
      <c r="CI123" s="272"/>
      <c r="CJ123" s="39"/>
      <c r="CK123" s="39"/>
      <c r="CL123" s="39"/>
      <c r="CM123" s="39"/>
      <c r="CN123" s="39" t="s">
        <v>2775</v>
      </c>
      <c r="CO123" s="39"/>
      <c r="CP123" s="39"/>
      <c r="CQ123" s="39"/>
      <c r="CR123" s="39" t="s">
        <v>2776</v>
      </c>
      <c r="CS123" s="39"/>
      <c r="CT123" s="39">
        <f ca="1">CS98-CT122</f>
        <v>3</v>
      </c>
      <c r="CU123" s="285"/>
      <c r="CX123" s="54"/>
    </row>
    <row r="124" spans="1:102">
      <c r="A124" s="335">
        <v>117</v>
      </c>
      <c r="B124" s="39" t="str">
        <f t="shared" si="12"/>
        <v>α lyr</v>
      </c>
      <c r="C124" s="39" t="str">
        <f t="shared" si="13"/>
        <v>μ 57</v>
      </c>
      <c r="F124" s="27" t="s">
        <v>1899</v>
      </c>
      <c r="G124" s="26"/>
      <c r="H124" s="26"/>
      <c r="I124" s="26"/>
      <c r="J124" s="26"/>
      <c r="K124" s="26"/>
      <c r="L124" s="26"/>
      <c r="M124" s="26" t="s">
        <v>229</v>
      </c>
      <c r="N124" s="26" t="s">
        <v>230</v>
      </c>
      <c r="R124" s="327" t="s">
        <v>2956</v>
      </c>
      <c r="S124" s="327" t="s">
        <v>2955</v>
      </c>
      <c r="T124" s="1" t="str">
        <f t="shared" si="32"/>
        <v>α</v>
      </c>
      <c r="U124" s="1" t="str">
        <f t="shared" si="33"/>
        <v>μ</v>
      </c>
      <c r="V124" s="59"/>
      <c r="X124" s="42" t="s">
        <v>3270</v>
      </c>
      <c r="Y124" s="42" t="s">
        <v>599</v>
      </c>
      <c r="AK124" s="67"/>
      <c r="AU124" s="82"/>
      <c r="BM124" s="266"/>
      <c r="BN124" s="616" t="s">
        <v>4057</v>
      </c>
      <c r="BO124" s="1">
        <f>BO114*BO104</f>
        <v>-0.53131243370199321</v>
      </c>
      <c r="BV124" s="266" t="s">
        <v>4064</v>
      </c>
      <c r="BW124" s="272"/>
      <c r="BX124" s="39"/>
      <c r="BY124" s="39"/>
      <c r="BZ124" s="39"/>
      <c r="CA124" s="39"/>
      <c r="CB124" s="39"/>
      <c r="CC124" s="39"/>
      <c r="CD124" s="39"/>
      <c r="CE124" s="39"/>
      <c r="CF124" s="39" t="s">
        <v>2764</v>
      </c>
      <c r="CG124" s="39"/>
      <c r="CH124" s="39">
        <f ca="1">CH122*60</f>
        <v>19.71088496131074</v>
      </c>
      <c r="CI124" s="272"/>
      <c r="CJ124" s="39"/>
      <c r="CK124" s="39"/>
      <c r="CL124" s="39"/>
      <c r="CM124" s="39"/>
      <c r="CN124" s="39"/>
      <c r="CO124" s="39"/>
      <c r="CP124" s="39"/>
      <c r="CQ124" s="39"/>
      <c r="CR124" s="39" t="s">
        <v>2764</v>
      </c>
      <c r="CS124" s="39"/>
      <c r="CT124" s="39">
        <f ca="1">CT122*60</f>
        <v>18.308914428218941</v>
      </c>
      <c r="CU124" s="285"/>
      <c r="CX124" s="54"/>
    </row>
    <row r="125" spans="1:102">
      <c r="A125" s="335">
        <v>118</v>
      </c>
      <c r="B125" s="39" t="str">
        <f t="shared" si="12"/>
        <v>α lyr</v>
      </c>
      <c r="C125" s="39" t="str">
        <f t="shared" si="13"/>
        <v>μ 57</v>
      </c>
      <c r="F125" s="25" t="s">
        <v>1900</v>
      </c>
      <c r="G125" s="22">
        <v>20</v>
      </c>
      <c r="H125" s="22">
        <v>39</v>
      </c>
      <c r="I125" s="22">
        <v>38.299999999999997</v>
      </c>
      <c r="J125" s="22">
        <v>15</v>
      </c>
      <c r="K125" s="22">
        <v>54</v>
      </c>
      <c r="L125" s="22">
        <v>43</v>
      </c>
      <c r="M125" s="22" t="s">
        <v>231</v>
      </c>
      <c r="N125" s="22" t="s">
        <v>232</v>
      </c>
      <c r="R125" s="327" t="s">
        <v>2957</v>
      </c>
      <c r="S125" s="327" t="s">
        <v>2958</v>
      </c>
      <c r="T125" s="1" t="str">
        <f t="shared" si="32"/>
        <v>α</v>
      </c>
      <c r="U125" s="1" t="str">
        <f t="shared" si="33"/>
        <v>μ</v>
      </c>
      <c r="V125" s="59"/>
      <c r="X125" s="42" t="s">
        <v>3271</v>
      </c>
      <c r="Y125" s="42" t="s">
        <v>599</v>
      </c>
      <c r="AK125" s="67"/>
      <c r="AU125" s="82"/>
      <c r="BM125" s="266"/>
      <c r="BN125" s="393" t="s">
        <v>4059</v>
      </c>
      <c r="BO125" s="393">
        <f>IF(BO122=1,0.000000000001,BO123)</f>
        <v>0.5657057952459692</v>
      </c>
      <c r="BT125" s="63" t="s">
        <v>4061</v>
      </c>
      <c r="BU125" s="69">
        <f ca="1">BU93</f>
        <v>290.36112681839296</v>
      </c>
      <c r="BV125" s="266"/>
      <c r="BW125" s="272"/>
      <c r="BX125" s="39"/>
      <c r="BY125" s="39"/>
      <c r="BZ125" s="39"/>
      <c r="CA125" s="39"/>
      <c r="CB125" s="39"/>
      <c r="CC125" s="39"/>
      <c r="CD125" s="39"/>
      <c r="CE125" s="39"/>
      <c r="CF125" s="39" t="s">
        <v>2777</v>
      </c>
      <c r="CG125" s="39"/>
      <c r="CH125" s="39">
        <f ca="1">CH123+1</f>
        <v>55</v>
      </c>
      <c r="CI125" s="272"/>
      <c r="CJ125" s="39"/>
      <c r="CK125" s="39"/>
      <c r="CL125" s="39"/>
      <c r="CM125" s="39"/>
      <c r="CN125" s="39"/>
      <c r="CO125" s="39"/>
      <c r="CP125" s="39"/>
      <c r="CQ125" s="39"/>
      <c r="CR125" s="39" t="s">
        <v>2777</v>
      </c>
      <c r="CS125" s="39"/>
      <c r="CT125" s="39">
        <f ca="1">CT123+1</f>
        <v>4</v>
      </c>
      <c r="CU125" s="285"/>
      <c r="CX125" s="54"/>
    </row>
    <row r="126" spans="1:102">
      <c r="A126" s="335">
        <v>119</v>
      </c>
      <c r="B126" s="39" t="str">
        <f t="shared" si="12"/>
        <v>α lyr</v>
      </c>
      <c r="C126" s="39" t="str">
        <f t="shared" si="13"/>
        <v>μ 57</v>
      </c>
      <c r="F126" s="25" t="s">
        <v>1901</v>
      </c>
      <c r="G126" s="22">
        <v>20</v>
      </c>
      <c r="H126" s="22">
        <v>37</v>
      </c>
      <c r="I126" s="22">
        <v>32.9</v>
      </c>
      <c r="J126" s="22">
        <v>14</v>
      </c>
      <c r="K126" s="22">
        <v>35</v>
      </c>
      <c r="L126" s="22">
        <v>42</v>
      </c>
      <c r="M126" s="22" t="s">
        <v>233</v>
      </c>
      <c r="N126" s="22" t="s">
        <v>234</v>
      </c>
      <c r="R126" s="327" t="s">
        <v>2959</v>
      </c>
      <c r="S126" s="327" t="s">
        <v>2958</v>
      </c>
      <c r="T126" s="1" t="str">
        <f t="shared" si="32"/>
        <v>α</v>
      </c>
      <c r="U126" s="1" t="str">
        <f t="shared" si="33"/>
        <v>μ</v>
      </c>
      <c r="V126" s="59"/>
      <c r="X126" s="42" t="s">
        <v>3272</v>
      </c>
      <c r="Y126" s="42" t="s">
        <v>599</v>
      </c>
      <c r="AK126" s="67"/>
      <c r="AU126" s="82"/>
      <c r="BM126" s="266"/>
      <c r="BN126" s="393" t="s">
        <v>4060</v>
      </c>
      <c r="BO126" s="393">
        <f>IF(BO122=-1,-0.000000000001,BO125)</f>
        <v>0.5657057952459692</v>
      </c>
      <c r="BT126" s="175" t="s">
        <v>4063</v>
      </c>
      <c r="BU126" s="629">
        <f ca="1">IF(BU125&gt;90,0,1)</f>
        <v>0</v>
      </c>
      <c r="BV126" s="266"/>
      <c r="BW126" s="272"/>
      <c r="BX126" s="39"/>
      <c r="BY126" s="39"/>
      <c r="BZ126" s="39"/>
      <c r="CA126" s="39"/>
      <c r="CB126" s="39"/>
      <c r="CC126" s="39"/>
      <c r="CD126" s="39"/>
      <c r="CE126" s="39"/>
      <c r="CF126" s="39" t="s">
        <v>2776</v>
      </c>
      <c r="CG126" s="39"/>
      <c r="CH126" s="39">
        <f ca="1">IF(CH124&gt;59.999999,CH125,CH123)</f>
        <v>54</v>
      </c>
      <c r="CI126" s="272"/>
      <c r="CJ126" s="39"/>
      <c r="CK126" s="39"/>
      <c r="CL126" s="39"/>
      <c r="CM126" s="39"/>
      <c r="CN126" s="39"/>
      <c r="CO126" s="39"/>
      <c r="CP126" s="39"/>
      <c r="CQ126" s="39"/>
      <c r="CR126" s="39" t="s">
        <v>2776</v>
      </c>
      <c r="CS126" s="39"/>
      <c r="CT126" s="39">
        <f ca="1">IF(CT124&gt;59.999999,CT125,CT123)</f>
        <v>3</v>
      </c>
      <c r="CU126" s="285"/>
      <c r="CX126" s="54"/>
    </row>
    <row r="127" spans="1:102">
      <c r="A127" s="335">
        <v>120</v>
      </c>
      <c r="B127" s="39" t="str">
        <f t="shared" si="12"/>
        <v>α lyr</v>
      </c>
      <c r="C127" s="39" t="str">
        <f t="shared" si="13"/>
        <v>μ 57</v>
      </c>
      <c r="F127" s="25" t="s">
        <v>1902</v>
      </c>
      <c r="G127" s="22">
        <v>20</v>
      </c>
      <c r="H127" s="22">
        <v>46</v>
      </c>
      <c r="I127" s="22">
        <v>39.200000000000003</v>
      </c>
      <c r="J127" s="22">
        <v>16</v>
      </c>
      <c r="K127" s="22">
        <v>7</v>
      </c>
      <c r="L127" s="22">
        <v>27</v>
      </c>
      <c r="M127" s="22" t="s">
        <v>235</v>
      </c>
      <c r="N127" s="22" t="s">
        <v>236</v>
      </c>
      <c r="R127" s="327" t="s">
        <v>2960</v>
      </c>
      <c r="S127" s="327" t="s">
        <v>2961</v>
      </c>
      <c r="T127" s="1" t="str">
        <f t="shared" si="32"/>
        <v>α</v>
      </c>
      <c r="U127" s="1" t="str">
        <f t="shared" si="33"/>
        <v>μ</v>
      </c>
      <c r="V127" s="59"/>
      <c r="X127" s="42" t="s">
        <v>3084</v>
      </c>
      <c r="Y127" s="42" t="s">
        <v>599</v>
      </c>
      <c r="AK127" s="67"/>
      <c r="AU127" s="82"/>
      <c r="BM127" s="266"/>
      <c r="BN127" s="616" t="s">
        <v>4062</v>
      </c>
      <c r="BO127" s="266">
        <f>BO124/BO126</f>
        <v>-0.93920274136661142</v>
      </c>
      <c r="BT127" s="43" t="s">
        <v>4065</v>
      </c>
      <c r="BU127" s="259">
        <f ca="1">IF(BU125&gt;90,BU125,1000)</f>
        <v>290.36112681839296</v>
      </c>
      <c r="BV127" s="266"/>
      <c r="BW127" s="272"/>
      <c r="BX127" s="39"/>
      <c r="BY127" s="39"/>
      <c r="BZ127" s="39"/>
      <c r="CA127" s="39"/>
      <c r="CB127" s="39"/>
      <c r="CC127" s="39"/>
      <c r="CD127" s="39"/>
      <c r="CE127" s="39"/>
      <c r="CF127" s="39" t="s">
        <v>2764</v>
      </c>
      <c r="CG127" s="39"/>
      <c r="CH127" s="39"/>
      <c r="CI127" s="272"/>
      <c r="CJ127" s="39"/>
      <c r="CK127" s="39"/>
      <c r="CL127" s="39"/>
      <c r="CM127" s="39"/>
      <c r="CN127" s="39"/>
      <c r="CO127" s="39"/>
      <c r="CP127" s="39"/>
      <c r="CQ127" s="39"/>
      <c r="CR127" s="39" t="s">
        <v>2764</v>
      </c>
      <c r="CS127" s="39"/>
      <c r="CT127" s="39"/>
      <c r="CU127" s="285"/>
      <c r="CX127" s="54"/>
    </row>
    <row r="128" spans="1:102">
      <c r="A128" s="335">
        <v>121</v>
      </c>
      <c r="B128" s="39" t="str">
        <f t="shared" si="12"/>
        <v>α lyr</v>
      </c>
      <c r="C128" s="39" t="str">
        <f t="shared" si="13"/>
        <v>μ 57</v>
      </c>
      <c r="F128" s="25" t="s">
        <v>1903</v>
      </c>
      <c r="G128" s="22">
        <v>20</v>
      </c>
      <c r="H128" s="22">
        <v>43</v>
      </c>
      <c r="I128" s="22">
        <v>27.5</v>
      </c>
      <c r="J128" s="22">
        <v>15</v>
      </c>
      <c r="K128" s="22">
        <v>4</v>
      </c>
      <c r="L128" s="22">
        <v>28</v>
      </c>
      <c r="M128" s="22" t="s">
        <v>237</v>
      </c>
      <c r="N128" s="22" t="s">
        <v>238</v>
      </c>
      <c r="R128" s="327" t="s">
        <v>2962</v>
      </c>
      <c r="S128" s="327" t="s">
        <v>2961</v>
      </c>
      <c r="T128" s="1" t="str">
        <f t="shared" si="32"/>
        <v>α</v>
      </c>
      <c r="U128" s="1" t="str">
        <f t="shared" si="33"/>
        <v>μ</v>
      </c>
      <c r="V128" s="59"/>
      <c r="X128" s="42" t="s">
        <v>3273</v>
      </c>
      <c r="Y128" s="42" t="s">
        <v>611</v>
      </c>
      <c r="AK128" s="67"/>
      <c r="AU128" s="82"/>
      <c r="BM128" s="266"/>
      <c r="BN128" s="393" t="s">
        <v>4052</v>
      </c>
      <c r="BO128" s="601">
        <f>IF(BO127&gt;0.999999999999,1,BO127)</f>
        <v>-0.93920274136661142</v>
      </c>
      <c r="BT128" s="43" t="s">
        <v>4066</v>
      </c>
      <c r="BU128" s="372">
        <f ca="1">IF(BU127&gt;180,0,2)</f>
        <v>0</v>
      </c>
      <c r="BV128" s="266"/>
      <c r="BW128" s="272"/>
      <c r="BX128" s="39"/>
      <c r="BY128" s="39"/>
      <c r="BZ128" s="39"/>
      <c r="CA128" s="39"/>
      <c r="CB128" s="39"/>
      <c r="CC128" s="39" t="s">
        <v>2778</v>
      </c>
      <c r="CD128" s="39"/>
      <c r="CE128" s="39"/>
      <c r="CF128" s="39"/>
      <c r="CG128" s="39"/>
      <c r="CH128" s="39">
        <f ca="1">IF(CH124&lt;0.000001,0,CH124)</f>
        <v>19.71088496131074</v>
      </c>
      <c r="CI128" s="272"/>
      <c r="CJ128" s="39"/>
      <c r="CK128" s="39"/>
      <c r="CL128" s="39"/>
      <c r="CM128" s="39"/>
      <c r="CN128" s="39"/>
      <c r="CO128" s="39" t="s">
        <v>2778</v>
      </c>
      <c r="CP128" s="39"/>
      <c r="CQ128" s="39"/>
      <c r="CR128" s="39"/>
      <c r="CS128" s="39"/>
      <c r="CT128" s="39">
        <f ca="1">IF(CT124&lt;0.000001,0,CT124)</f>
        <v>18.308914428218941</v>
      </c>
      <c r="CU128" s="285"/>
      <c r="CX128" s="54"/>
    </row>
    <row r="129" spans="1:102">
      <c r="A129" s="335">
        <v>122</v>
      </c>
      <c r="B129" s="39" t="str">
        <f t="shared" si="12"/>
        <v>α lyr</v>
      </c>
      <c r="C129" s="39" t="str">
        <f t="shared" si="13"/>
        <v>μ 57</v>
      </c>
      <c r="F129" s="25" t="s">
        <v>1904</v>
      </c>
      <c r="G129" s="22">
        <v>20</v>
      </c>
      <c r="H129" s="22">
        <v>33</v>
      </c>
      <c r="I129" s="22">
        <v>12.8</v>
      </c>
      <c r="J129" s="22">
        <v>11</v>
      </c>
      <c r="K129" s="22">
        <v>18</v>
      </c>
      <c r="L129" s="22">
        <v>12</v>
      </c>
      <c r="M129" s="22" t="s">
        <v>239</v>
      </c>
      <c r="N129" s="22" t="s">
        <v>240</v>
      </c>
      <c r="R129" s="327" t="s">
        <v>2963</v>
      </c>
      <c r="S129" s="327" t="s">
        <v>2964</v>
      </c>
      <c r="T129" s="1" t="str">
        <f t="shared" si="32"/>
        <v>α</v>
      </c>
      <c r="U129" s="1" t="str">
        <f t="shared" si="33"/>
        <v>μ</v>
      </c>
      <c r="V129" s="59"/>
      <c r="X129" s="42" t="s">
        <v>3087</v>
      </c>
      <c r="Y129" s="42" t="s">
        <v>611</v>
      </c>
      <c r="AK129" s="67"/>
      <c r="AU129" s="82"/>
      <c r="BM129" s="266"/>
      <c r="BN129" s="393" t="s">
        <v>4054</v>
      </c>
      <c r="BO129" s="393">
        <f>IF(BO128&lt;-0.999999999999,-1,BO128)</f>
        <v>-0.93920274136661142</v>
      </c>
      <c r="BT129" s="43" t="s">
        <v>4068</v>
      </c>
      <c r="BU129" s="259">
        <f ca="1">IF(BU125&gt;180,BU125,1000)</f>
        <v>290.36112681839296</v>
      </c>
      <c r="BV129" s="266"/>
      <c r="BW129" s="272"/>
      <c r="BX129" s="39"/>
      <c r="BY129" s="39"/>
      <c r="BZ129" s="39"/>
      <c r="CA129" s="39"/>
      <c r="CB129" s="39"/>
      <c r="CC129" s="39" t="s">
        <v>2779</v>
      </c>
      <c r="CD129" s="39"/>
      <c r="CE129" s="39"/>
      <c r="CF129" s="39"/>
      <c r="CG129" s="39"/>
      <c r="CH129" s="39">
        <f ca="1">IF(CH128&gt;59.999999,0,CH128)</f>
        <v>19.71088496131074</v>
      </c>
      <c r="CI129" s="272"/>
      <c r="CJ129" s="39"/>
      <c r="CK129" s="39"/>
      <c r="CL129" s="39"/>
      <c r="CM129" s="39"/>
      <c r="CN129" s="39"/>
      <c r="CO129" s="39" t="s">
        <v>2779</v>
      </c>
      <c r="CP129" s="39"/>
      <c r="CQ129" s="39"/>
      <c r="CR129" s="39"/>
      <c r="CS129" s="39"/>
      <c r="CT129" s="39">
        <f ca="1">IF(CT128&gt;59.999999,0,CT128)</f>
        <v>18.308914428218941</v>
      </c>
      <c r="CU129" s="285"/>
      <c r="CX129" s="54"/>
    </row>
    <row r="130" spans="1:102" ht="17.25">
      <c r="A130" s="335">
        <v>123</v>
      </c>
      <c r="B130" s="39" t="str">
        <f t="shared" si="12"/>
        <v>α lyr</v>
      </c>
      <c r="C130" s="39" t="str">
        <f t="shared" si="13"/>
        <v>μ 57</v>
      </c>
      <c r="F130" s="25" t="s">
        <v>1905</v>
      </c>
      <c r="G130" s="22">
        <v>20</v>
      </c>
      <c r="H130" s="22">
        <v>35</v>
      </c>
      <c r="I130" s="22">
        <v>18.5</v>
      </c>
      <c r="J130" s="22">
        <v>14</v>
      </c>
      <c r="K130" s="22">
        <v>40</v>
      </c>
      <c r="L130" s="22">
        <v>27</v>
      </c>
      <c r="M130" s="22" t="s">
        <v>241</v>
      </c>
      <c r="N130" s="22" t="s">
        <v>242</v>
      </c>
      <c r="R130" s="327" t="s">
        <v>2965</v>
      </c>
      <c r="S130" s="327" t="s">
        <v>2964</v>
      </c>
      <c r="T130" s="1" t="str">
        <f t="shared" si="32"/>
        <v>α</v>
      </c>
      <c r="U130" s="1" t="str">
        <f t="shared" si="33"/>
        <v>μ</v>
      </c>
      <c r="V130" s="59"/>
      <c r="X130" s="42" t="s">
        <v>3274</v>
      </c>
      <c r="Y130" s="42" t="s">
        <v>611</v>
      </c>
      <c r="AK130" s="67"/>
      <c r="AU130" s="82"/>
      <c r="BM130" s="266"/>
      <c r="BN130" s="63" t="s">
        <v>4067</v>
      </c>
      <c r="BO130" s="623">
        <f>DEGREES(ASIN(RADIANS(DEGREES(BO129))))</f>
        <v>-69.918095403829298</v>
      </c>
      <c r="BT130" s="43" t="s">
        <v>4069</v>
      </c>
      <c r="BU130" s="372">
        <f ca="1">IF(BU129&gt;270,0,3)</f>
        <v>0</v>
      </c>
      <c r="BV130" s="266"/>
      <c r="BW130" s="272"/>
      <c r="BX130" s="39"/>
      <c r="BY130" s="39"/>
      <c r="BZ130" s="39"/>
      <c r="CA130" s="39"/>
      <c r="CB130" s="39"/>
      <c r="CC130" s="39"/>
      <c r="CD130" s="39"/>
      <c r="CE130" s="39"/>
      <c r="CF130" s="39" t="s">
        <v>2780</v>
      </c>
      <c r="CG130" s="39"/>
      <c r="CH130" s="274">
        <f ca="1">CD121</f>
        <v>18</v>
      </c>
      <c r="CI130" s="272"/>
      <c r="CJ130" s="39"/>
      <c r="CK130" s="39"/>
      <c r="CL130" s="39"/>
      <c r="CM130" s="39"/>
      <c r="CN130" s="39"/>
      <c r="CO130" s="39"/>
      <c r="CP130" s="39"/>
      <c r="CQ130" s="39"/>
      <c r="CR130" s="39" t="s">
        <v>2780</v>
      </c>
      <c r="CS130" s="39"/>
      <c r="CT130" s="274">
        <f ca="1">CP121</f>
        <v>33</v>
      </c>
      <c r="CU130" s="285"/>
      <c r="CX130" s="54"/>
    </row>
    <row r="131" spans="1:102">
      <c r="A131" s="335">
        <v>124</v>
      </c>
      <c r="B131" s="39" t="str">
        <f t="shared" si="12"/>
        <v>α lyr</v>
      </c>
      <c r="C131" s="39" t="str">
        <f t="shared" si="13"/>
        <v>μ 57</v>
      </c>
      <c r="F131" s="41" t="s">
        <v>3942</v>
      </c>
      <c r="G131" s="22">
        <v>20</v>
      </c>
      <c r="H131" s="22">
        <v>33</v>
      </c>
      <c r="I131" s="22">
        <v>57.1</v>
      </c>
      <c r="J131" s="22">
        <v>13</v>
      </c>
      <c r="K131" s="22">
        <v>1</v>
      </c>
      <c r="L131" s="22">
        <v>38</v>
      </c>
      <c r="M131" s="22" t="s">
        <v>3837</v>
      </c>
      <c r="N131" s="22" t="s">
        <v>3838</v>
      </c>
      <c r="R131" s="327" t="s">
        <v>2966</v>
      </c>
      <c r="S131" s="327" t="s">
        <v>2967</v>
      </c>
      <c r="T131" s="1" t="str">
        <f t="shared" si="32"/>
        <v>α</v>
      </c>
      <c r="U131" s="1" t="str">
        <f t="shared" si="33"/>
        <v>μ</v>
      </c>
      <c r="V131" s="59"/>
      <c r="X131" s="42" t="s">
        <v>3275</v>
      </c>
      <c r="Y131" s="42" t="s">
        <v>611</v>
      </c>
      <c r="AK131" s="67"/>
      <c r="AU131" s="82"/>
      <c r="BM131" s="266"/>
      <c r="BT131" s="43" t="s">
        <v>4070</v>
      </c>
      <c r="BU131" s="372">
        <f ca="1">IF(BU125&gt;270,4,0)</f>
        <v>4</v>
      </c>
      <c r="BV131" s="266"/>
      <c r="BW131" s="272"/>
      <c r="BX131" s="39"/>
      <c r="BY131" s="39"/>
      <c r="BZ131" s="39"/>
      <c r="CA131" s="39"/>
      <c r="CB131" s="39"/>
      <c r="CC131" s="39"/>
      <c r="CD131" s="39"/>
      <c r="CE131" s="39"/>
      <c r="CF131" s="39" t="s">
        <v>10</v>
      </c>
      <c r="CG131" s="39"/>
      <c r="CH131" s="274">
        <f ca="1">CH126</f>
        <v>54</v>
      </c>
      <c r="CI131" s="272"/>
      <c r="CJ131" s="39"/>
      <c r="CK131" s="39"/>
      <c r="CL131" s="39"/>
      <c r="CM131" s="39"/>
      <c r="CN131" s="39"/>
      <c r="CO131" s="39"/>
      <c r="CP131" s="39"/>
      <c r="CQ131" s="39"/>
      <c r="CR131" s="39" t="s">
        <v>10</v>
      </c>
      <c r="CS131" s="39"/>
      <c r="CT131" s="274">
        <f ca="1">CT126</f>
        <v>3</v>
      </c>
      <c r="CU131" s="285"/>
      <c r="CX131" s="54"/>
    </row>
    <row r="132" spans="1:102">
      <c r="A132" s="335">
        <v>125</v>
      </c>
      <c r="B132" s="39" t="str">
        <f t="shared" si="12"/>
        <v>α lyr</v>
      </c>
      <c r="C132" s="39" t="str">
        <f t="shared" si="13"/>
        <v>μ 57</v>
      </c>
      <c r="F132" s="41" t="s">
        <v>3943</v>
      </c>
      <c r="G132" s="22">
        <v>20</v>
      </c>
      <c r="H132" s="22">
        <v>37</v>
      </c>
      <c r="I132" s="22">
        <v>49.1</v>
      </c>
      <c r="J132" s="22">
        <v>11</v>
      </c>
      <c r="K132" s="22">
        <v>22</v>
      </c>
      <c r="L132" s="22">
        <v>40</v>
      </c>
      <c r="M132" s="22" t="s">
        <v>3842</v>
      </c>
      <c r="N132" s="22" t="s">
        <v>3841</v>
      </c>
      <c r="R132" s="327" t="s">
        <v>2968</v>
      </c>
      <c r="S132" s="327" t="s">
        <v>2969</v>
      </c>
      <c r="T132" s="1" t="str">
        <f t="shared" si="32"/>
        <v>α</v>
      </c>
      <c r="U132" s="1" t="str">
        <f t="shared" si="33"/>
        <v>μ</v>
      </c>
      <c r="V132" s="59"/>
      <c r="X132" s="42" t="s">
        <v>3276</v>
      </c>
      <c r="Y132" s="42" t="s">
        <v>629</v>
      </c>
      <c r="AK132" s="67"/>
      <c r="AU132" s="82"/>
      <c r="BM132" s="266"/>
      <c r="BT132" s="191" t="s">
        <v>4072</v>
      </c>
      <c r="BU132" s="630">
        <f ca="1">BU126+BU128+BU130+BU131</f>
        <v>4</v>
      </c>
      <c r="BV132" s="266"/>
      <c r="BW132" s="272"/>
      <c r="BX132" s="39"/>
      <c r="BY132" s="39"/>
      <c r="BZ132" s="39"/>
      <c r="CA132" s="39"/>
      <c r="CB132" s="39"/>
      <c r="CC132" s="39"/>
      <c r="CD132" s="39"/>
      <c r="CE132" s="39"/>
      <c r="CF132" s="39" t="s">
        <v>2731</v>
      </c>
      <c r="CG132" s="39"/>
      <c r="CH132" s="274">
        <f ca="1">CH129</f>
        <v>19.71088496131074</v>
      </c>
      <c r="CI132" s="272"/>
      <c r="CJ132" s="39"/>
      <c r="CK132" s="39"/>
      <c r="CL132" s="39"/>
      <c r="CM132" s="39"/>
      <c r="CN132" s="39"/>
      <c r="CO132" s="39"/>
      <c r="CP132" s="39"/>
      <c r="CQ132" s="39"/>
      <c r="CR132" s="39" t="s">
        <v>2731</v>
      </c>
      <c r="CS132" s="39"/>
      <c r="CT132" s="274">
        <f ca="1">CT129</f>
        <v>18.308914428218941</v>
      </c>
      <c r="CU132" s="285"/>
      <c r="CX132" s="54"/>
    </row>
    <row r="133" spans="1:102">
      <c r="A133" s="335">
        <v>126</v>
      </c>
      <c r="B133" s="39" t="str">
        <f t="shared" si="12"/>
        <v>α lyr</v>
      </c>
      <c r="C133" s="39" t="str">
        <f t="shared" si="13"/>
        <v>μ 57</v>
      </c>
      <c r="F133" s="41" t="s">
        <v>3944</v>
      </c>
      <c r="G133" s="22">
        <v>20</v>
      </c>
      <c r="H133" s="22">
        <v>39</v>
      </c>
      <c r="I133" s="22">
        <v>7.8</v>
      </c>
      <c r="J133" s="22">
        <v>10</v>
      </c>
      <c r="K133" s="22">
        <v>5</v>
      </c>
      <c r="L133" s="22">
        <v>10</v>
      </c>
      <c r="M133" s="22" t="s">
        <v>3839</v>
      </c>
      <c r="N133" s="22" t="s">
        <v>3840</v>
      </c>
      <c r="R133" s="327" t="s">
        <v>2970</v>
      </c>
      <c r="S133" s="327" t="s">
        <v>2971</v>
      </c>
      <c r="T133" s="1" t="str">
        <f t="shared" si="32"/>
        <v>α</v>
      </c>
      <c r="U133" s="1" t="str">
        <f t="shared" si="33"/>
        <v>μ</v>
      </c>
      <c r="V133" s="59"/>
      <c r="X133" s="42" t="s">
        <v>3013</v>
      </c>
      <c r="Y133" s="42" t="s">
        <v>629</v>
      </c>
      <c r="AK133" s="67"/>
      <c r="AU133" s="82"/>
      <c r="BM133" s="266"/>
      <c r="BN133" s="63" t="s">
        <v>4071</v>
      </c>
      <c r="BO133" s="69">
        <f>BO92</f>
        <v>18.893083333333333</v>
      </c>
      <c r="BV133" s="266"/>
      <c r="BW133" s="272"/>
      <c r="BX133" s="39"/>
      <c r="BY133" s="39"/>
      <c r="BZ133" s="39"/>
      <c r="CA133" s="39"/>
      <c r="CB133" s="39"/>
      <c r="CC133" s="39"/>
      <c r="CD133" s="39"/>
      <c r="CE133" s="39"/>
      <c r="CF133" s="39" t="s">
        <v>2781</v>
      </c>
      <c r="CG133" s="39"/>
      <c r="CH133" s="39"/>
      <c r="CI133" s="272"/>
      <c r="CJ133" s="39"/>
      <c r="CK133" s="39"/>
      <c r="CL133" s="39"/>
      <c r="CM133" s="39"/>
      <c r="CN133" s="39"/>
      <c r="CO133" s="39"/>
      <c r="CP133" s="39"/>
      <c r="CQ133" s="39"/>
      <c r="CR133" s="39" t="s">
        <v>2781</v>
      </c>
      <c r="CS133" s="39"/>
      <c r="CT133" s="39"/>
      <c r="CU133" s="285"/>
      <c r="CX133" s="54"/>
    </row>
    <row r="134" spans="1:102">
      <c r="A134" s="335">
        <v>127</v>
      </c>
      <c r="B134" s="39" t="str">
        <f t="shared" ref="B134:B197" si="44">IF(B133=F134,A134,B133)</f>
        <v>α lyr</v>
      </c>
      <c r="C134" s="39" t="str">
        <f t="shared" ref="C134:C197" si="45" xml:space="preserve"> IF(C133=F134,A134,C133)</f>
        <v>μ 57</v>
      </c>
      <c r="F134" s="27" t="s">
        <v>1906</v>
      </c>
      <c r="G134" s="26"/>
      <c r="H134" s="26"/>
      <c r="I134" s="26"/>
      <c r="J134" s="26"/>
      <c r="K134" s="26"/>
      <c r="L134" s="26"/>
      <c r="M134" s="26" t="s">
        <v>243</v>
      </c>
      <c r="N134" s="26" t="s">
        <v>244</v>
      </c>
      <c r="R134" s="327" t="s">
        <v>2972</v>
      </c>
      <c r="S134" s="327" t="s">
        <v>2971</v>
      </c>
      <c r="T134" s="1" t="str">
        <f t="shared" si="32"/>
        <v>α</v>
      </c>
      <c r="U134" s="1" t="str">
        <f t="shared" si="33"/>
        <v>μ</v>
      </c>
      <c r="V134" s="59"/>
      <c r="X134" s="42" t="s">
        <v>3277</v>
      </c>
      <c r="Y134" s="42" t="s">
        <v>645</v>
      </c>
      <c r="AK134" s="67"/>
      <c r="AU134" s="82"/>
      <c r="BM134" s="266"/>
      <c r="BN134" s="69" t="s">
        <v>4073</v>
      </c>
      <c r="BO134" s="631">
        <f>IF(BO133&gt;18,4,0)</f>
        <v>4</v>
      </c>
      <c r="BT134" s="612" t="s">
        <v>4076</v>
      </c>
      <c r="BV134" s="266"/>
      <c r="BW134" s="272"/>
      <c r="BX134" s="39"/>
      <c r="BY134" s="39"/>
      <c r="BZ134" s="39"/>
      <c r="CA134" s="39"/>
      <c r="CB134" s="39"/>
      <c r="CC134" s="39"/>
      <c r="CD134" s="39"/>
      <c r="CE134" s="39"/>
      <c r="CF134" s="39"/>
      <c r="CG134" s="39"/>
      <c r="CH134" s="282">
        <f ca="1">CH130*-1</f>
        <v>-18</v>
      </c>
      <c r="CI134" s="272"/>
      <c r="CJ134" s="39"/>
      <c r="CK134" s="39"/>
      <c r="CL134" s="39"/>
      <c r="CM134" s="39"/>
      <c r="CN134" s="39"/>
      <c r="CO134" s="39"/>
      <c r="CP134" s="39"/>
      <c r="CQ134" s="39"/>
      <c r="CR134" s="39"/>
      <c r="CS134" s="39"/>
      <c r="CT134" s="282">
        <f ca="1">CT130*-1</f>
        <v>-33</v>
      </c>
      <c r="CU134" s="285"/>
      <c r="CX134" s="54"/>
    </row>
    <row r="135" spans="1:102">
      <c r="A135" s="335">
        <v>128</v>
      </c>
      <c r="B135" s="39" t="str">
        <f t="shared" si="44"/>
        <v>α lyr</v>
      </c>
      <c r="C135" s="39" t="str">
        <f t="shared" si="45"/>
        <v>μ 57</v>
      </c>
      <c r="F135" s="25" t="s">
        <v>1907</v>
      </c>
      <c r="G135" s="22">
        <v>7</v>
      </c>
      <c r="H135" s="22">
        <v>34</v>
      </c>
      <c r="I135" s="22">
        <v>36</v>
      </c>
      <c r="J135" s="22">
        <v>31</v>
      </c>
      <c r="K135" s="22">
        <v>53</v>
      </c>
      <c r="L135" s="22">
        <v>18</v>
      </c>
      <c r="M135" s="22" t="s">
        <v>245</v>
      </c>
      <c r="N135" s="23" t="s">
        <v>246</v>
      </c>
      <c r="R135" s="327" t="s">
        <v>3750</v>
      </c>
      <c r="S135" s="327" t="s">
        <v>3756</v>
      </c>
      <c r="T135" s="1" t="str">
        <f t="shared" si="32"/>
        <v>α</v>
      </c>
      <c r="U135" s="1" t="str">
        <f t="shared" si="33"/>
        <v>μ</v>
      </c>
      <c r="V135" s="59"/>
      <c r="X135" s="42" t="s">
        <v>3091</v>
      </c>
      <c r="Y135" s="42" t="s">
        <v>645</v>
      </c>
      <c r="AK135" s="67"/>
      <c r="AU135" s="82"/>
      <c r="BM135" s="266"/>
      <c r="BN135" s="42" t="s">
        <v>4074</v>
      </c>
      <c r="BO135" s="42">
        <f>IF(BO133&gt;12,BO133,1000)</f>
        <v>18.893083333333333</v>
      </c>
      <c r="BT135" s="632" t="s">
        <v>4078</v>
      </c>
      <c r="BU135" s="633">
        <v>1</v>
      </c>
      <c r="BV135" s="266"/>
      <c r="BW135" s="272"/>
      <c r="BX135" s="39"/>
      <c r="BY135" s="39"/>
      <c r="BZ135" s="39"/>
      <c r="CA135" s="39"/>
      <c r="CB135" s="39"/>
      <c r="CC135" s="39"/>
      <c r="CD135" s="39"/>
      <c r="CE135" s="39"/>
      <c r="CF135" s="39"/>
      <c r="CG135" s="39"/>
      <c r="CH135" s="282">
        <f ca="1">CH131*-1</f>
        <v>-54</v>
      </c>
      <c r="CI135" s="272"/>
      <c r="CJ135" s="39"/>
      <c r="CK135" s="39"/>
      <c r="CL135" s="39"/>
      <c r="CM135" s="39"/>
      <c r="CN135" s="39"/>
      <c r="CO135" s="39"/>
      <c r="CP135" s="39"/>
      <c r="CQ135" s="39"/>
      <c r="CR135" s="39"/>
      <c r="CS135" s="39"/>
      <c r="CT135" s="282">
        <f ca="1">CT131*-1</f>
        <v>-3</v>
      </c>
      <c r="CU135" s="285"/>
      <c r="CX135" s="54"/>
    </row>
    <row r="136" spans="1:102">
      <c r="A136" s="335">
        <v>129</v>
      </c>
      <c r="B136" s="39" t="str">
        <f t="shared" si="44"/>
        <v>α lyr</v>
      </c>
      <c r="C136" s="39" t="str">
        <f t="shared" si="45"/>
        <v>μ 57</v>
      </c>
      <c r="F136" s="25" t="s">
        <v>1908</v>
      </c>
      <c r="G136" s="22">
        <v>7</v>
      </c>
      <c r="H136" s="22">
        <v>45</v>
      </c>
      <c r="I136" s="22">
        <v>18.899999999999999</v>
      </c>
      <c r="J136" s="22">
        <v>28</v>
      </c>
      <c r="K136" s="22">
        <v>1</v>
      </c>
      <c r="L136" s="22">
        <v>34</v>
      </c>
      <c r="M136" s="22" t="s">
        <v>247</v>
      </c>
      <c r="N136" s="23" t="s">
        <v>248</v>
      </c>
      <c r="R136" s="327" t="s">
        <v>3751</v>
      </c>
      <c r="S136" s="327" t="s">
        <v>3756</v>
      </c>
      <c r="T136" s="1" t="str">
        <f t="shared" si="32"/>
        <v>α</v>
      </c>
      <c r="U136" s="1" t="str">
        <f t="shared" si="33"/>
        <v>μ</v>
      </c>
      <c r="V136" s="59"/>
      <c r="X136" s="42" t="s">
        <v>3278</v>
      </c>
      <c r="Y136" s="42" t="s">
        <v>679</v>
      </c>
      <c r="AK136" s="67"/>
      <c r="AU136" s="82"/>
      <c r="BM136" s="266"/>
      <c r="BN136" s="42" t="s">
        <v>4075</v>
      </c>
      <c r="BO136" s="26">
        <f>IF(BO135&gt;18,0,3)</f>
        <v>0</v>
      </c>
      <c r="BT136" s="23" t="s">
        <v>4083</v>
      </c>
      <c r="BU136" s="372">
        <f ca="1">BU123</f>
        <v>-5.0945247541774137</v>
      </c>
      <c r="BV136" s="266"/>
      <c r="BW136" s="270"/>
      <c r="BX136" s="39"/>
      <c r="BY136" s="39"/>
      <c r="BZ136" s="39"/>
      <c r="CA136" s="39"/>
      <c r="CB136" s="39"/>
      <c r="CC136" s="39"/>
      <c r="CD136" s="39"/>
      <c r="CE136" s="39"/>
      <c r="CF136" s="39"/>
      <c r="CG136" s="39"/>
      <c r="CH136" s="282">
        <f ca="1">CH132*-1</f>
        <v>-19.71088496131074</v>
      </c>
      <c r="CI136" s="270"/>
      <c r="CJ136" s="39"/>
      <c r="CK136" s="39"/>
      <c r="CL136" s="39"/>
      <c r="CM136" s="39"/>
      <c r="CN136" s="39"/>
      <c r="CO136" s="39"/>
      <c r="CP136" s="39"/>
      <c r="CQ136" s="39"/>
      <c r="CR136" s="39"/>
      <c r="CS136" s="39"/>
      <c r="CT136" s="282">
        <f ca="1">CT132*-1</f>
        <v>-18.308914428218941</v>
      </c>
      <c r="CU136" s="54"/>
      <c r="CX136" s="54"/>
    </row>
    <row r="137" spans="1:102">
      <c r="A137" s="335">
        <v>130</v>
      </c>
      <c r="B137" s="39" t="str">
        <f t="shared" si="44"/>
        <v>α lyr</v>
      </c>
      <c r="C137" s="39" t="str">
        <f t="shared" si="45"/>
        <v>μ 57</v>
      </c>
      <c r="F137" s="25" t="s">
        <v>1909</v>
      </c>
      <c r="G137" s="22">
        <v>6</v>
      </c>
      <c r="H137" s="22">
        <v>37</v>
      </c>
      <c r="I137" s="22">
        <v>42.7</v>
      </c>
      <c r="J137" s="22">
        <v>16</v>
      </c>
      <c r="K137" s="22">
        <v>23</v>
      </c>
      <c r="L137" s="22">
        <v>57</v>
      </c>
      <c r="M137" s="22" t="s">
        <v>249</v>
      </c>
      <c r="N137" s="22" t="s">
        <v>250</v>
      </c>
      <c r="R137" s="327" t="s">
        <v>3752</v>
      </c>
      <c r="S137" s="327" t="s">
        <v>3757</v>
      </c>
      <c r="T137" s="1" t="str">
        <f t="shared" si="32"/>
        <v>α</v>
      </c>
      <c r="U137" s="1" t="str">
        <f t="shared" si="33"/>
        <v>μ</v>
      </c>
      <c r="V137" s="59"/>
      <c r="X137" s="42" t="s">
        <v>3279</v>
      </c>
      <c r="Y137" s="42" t="s">
        <v>679</v>
      </c>
      <c r="AK137" s="67"/>
      <c r="AU137" s="82"/>
      <c r="BM137" s="266"/>
      <c r="BN137" s="42" t="s">
        <v>4077</v>
      </c>
      <c r="BO137" s="42">
        <f>IF(BO133&gt;6,BO133,1000)</f>
        <v>18.893083333333333</v>
      </c>
      <c r="BT137" s="43" t="s">
        <v>4111</v>
      </c>
      <c r="BU137" s="636">
        <f ca="1">24+BU136</f>
        <v>18.905475245822586</v>
      </c>
      <c r="BV137" s="266"/>
      <c r="BW137" s="270"/>
      <c r="BX137" s="270"/>
      <c r="BY137" s="270"/>
      <c r="BZ137" s="270"/>
      <c r="CA137" s="270"/>
      <c r="CB137" s="270"/>
      <c r="CC137" s="270"/>
      <c r="CD137" s="270"/>
      <c r="CE137" s="270"/>
      <c r="CF137" s="270"/>
      <c r="CG137" s="270"/>
      <c r="CH137" s="272"/>
      <c r="CI137" s="270"/>
      <c r="CJ137" s="270"/>
      <c r="CK137" s="270"/>
      <c r="CL137" s="270"/>
      <c r="CM137" s="270"/>
      <c r="CN137" s="270"/>
      <c r="CO137" s="270"/>
      <c r="CP137" s="270"/>
      <c r="CQ137" s="270"/>
      <c r="CR137" s="270"/>
      <c r="CS137" s="270"/>
      <c r="CT137" s="272"/>
      <c r="CU137" s="54"/>
      <c r="CX137" s="54"/>
    </row>
    <row r="138" spans="1:102">
      <c r="A138" s="335">
        <v>131</v>
      </c>
      <c r="B138" s="39" t="str">
        <f t="shared" si="44"/>
        <v>α lyr</v>
      </c>
      <c r="C138" s="39" t="str">
        <f t="shared" si="45"/>
        <v>μ 57</v>
      </c>
      <c r="F138" s="25" t="s">
        <v>1910</v>
      </c>
      <c r="G138" s="22">
        <v>7</v>
      </c>
      <c r="H138" s="22">
        <v>20</v>
      </c>
      <c r="I138" s="22">
        <v>7.4</v>
      </c>
      <c r="J138" s="22">
        <v>21</v>
      </c>
      <c r="K138" s="22">
        <v>58</v>
      </c>
      <c r="L138" s="22">
        <v>56</v>
      </c>
      <c r="M138" s="22" t="s">
        <v>251</v>
      </c>
      <c r="N138" s="22" t="s">
        <v>252</v>
      </c>
      <c r="R138" s="327" t="s">
        <v>3754</v>
      </c>
      <c r="S138" s="327" t="s">
        <v>3757</v>
      </c>
      <c r="T138" s="1" t="str">
        <f t="shared" si="32"/>
        <v>α</v>
      </c>
      <c r="U138" s="1" t="str">
        <f t="shared" si="33"/>
        <v>μ</v>
      </c>
      <c r="V138" s="59"/>
      <c r="X138" s="42" t="s">
        <v>3280</v>
      </c>
      <c r="Y138" s="42" t="s">
        <v>679</v>
      </c>
      <c r="AK138" s="67"/>
      <c r="AU138" s="82"/>
      <c r="BM138" s="266"/>
      <c r="BN138" s="42" t="s">
        <v>4079</v>
      </c>
      <c r="BO138" s="26">
        <f>IF(BO137&gt;12,0,2)</f>
        <v>0</v>
      </c>
      <c r="BT138" s="191" t="s">
        <v>4112</v>
      </c>
      <c r="BU138" s="91">
        <f ca="1">IF(BU136&lt;0,BU137,BU136)</f>
        <v>18.905475245822586</v>
      </c>
      <c r="BV138" s="266"/>
      <c r="BW138" s="270"/>
      <c r="CU138" s="54"/>
      <c r="CX138" s="54"/>
    </row>
    <row r="139" spans="1:102">
      <c r="A139" s="335">
        <v>132</v>
      </c>
      <c r="B139" s="39" t="str">
        <f t="shared" si="44"/>
        <v>α lyr</v>
      </c>
      <c r="C139" s="39" t="str">
        <f t="shared" si="45"/>
        <v>μ 57</v>
      </c>
      <c r="F139" s="25" t="s">
        <v>1911</v>
      </c>
      <c r="G139" s="22">
        <v>6</v>
      </c>
      <c r="H139" s="22">
        <v>43</v>
      </c>
      <c r="I139" s="22">
        <v>55.9</v>
      </c>
      <c r="J139" s="22">
        <v>25</v>
      </c>
      <c r="K139" s="22">
        <v>7</v>
      </c>
      <c r="L139" s="22">
        <v>52</v>
      </c>
      <c r="M139" s="22" t="s">
        <v>253</v>
      </c>
      <c r="N139" s="22" t="s">
        <v>254</v>
      </c>
      <c r="R139" s="327" t="s">
        <v>3755</v>
      </c>
      <c r="S139" s="327" t="s">
        <v>3758</v>
      </c>
      <c r="T139" s="1" t="str">
        <f t="shared" si="32"/>
        <v>α</v>
      </c>
      <c r="U139" s="1" t="str">
        <f t="shared" si="33"/>
        <v>μ</v>
      </c>
      <c r="V139" s="59"/>
      <c r="X139" s="42" t="s">
        <v>3140</v>
      </c>
      <c r="Y139" s="42" t="s">
        <v>679</v>
      </c>
      <c r="AK139" s="67"/>
      <c r="AU139" s="82"/>
      <c r="BM139" s="266"/>
      <c r="BN139" s="42" t="s">
        <v>4080</v>
      </c>
      <c r="BO139" s="26">
        <f>IF(BO133&gt;6,0,1)</f>
        <v>0</v>
      </c>
      <c r="BT139" s="39"/>
      <c r="BU139" s="86"/>
      <c r="BV139" s="266"/>
      <c r="BW139" s="270"/>
      <c r="CU139" s="54"/>
      <c r="CX139" s="54"/>
    </row>
    <row r="140" spans="1:102">
      <c r="A140" s="335">
        <v>133</v>
      </c>
      <c r="B140" s="39" t="str">
        <f t="shared" si="44"/>
        <v>α lyr</v>
      </c>
      <c r="C140" s="39" t="str">
        <f t="shared" si="45"/>
        <v>μ 57</v>
      </c>
      <c r="F140" s="25" t="s">
        <v>1912</v>
      </c>
      <c r="G140" s="22">
        <v>7</v>
      </c>
      <c r="H140" s="22">
        <v>4</v>
      </c>
      <c r="I140" s="22">
        <v>6.5</v>
      </c>
      <c r="J140" s="22">
        <v>20</v>
      </c>
      <c r="K140" s="22">
        <v>34</v>
      </c>
      <c r="L140" s="22">
        <v>13</v>
      </c>
      <c r="M140" s="22" t="s">
        <v>255</v>
      </c>
      <c r="N140" s="22" t="s">
        <v>256</v>
      </c>
      <c r="R140" s="327" t="s">
        <v>3753</v>
      </c>
      <c r="S140" s="327" t="s">
        <v>3758</v>
      </c>
      <c r="T140" s="1" t="str">
        <f t="shared" si="32"/>
        <v>α</v>
      </c>
      <c r="U140" s="1" t="str">
        <f t="shared" si="33"/>
        <v>μ</v>
      </c>
      <c r="V140" s="59"/>
      <c r="X140" s="42" t="s">
        <v>3281</v>
      </c>
      <c r="Y140" s="42" t="s">
        <v>697</v>
      </c>
      <c r="AK140" s="67"/>
      <c r="AU140" s="82"/>
      <c r="BM140" s="266"/>
      <c r="BN140" s="191" t="s">
        <v>4081</v>
      </c>
      <c r="BO140" s="630">
        <f>BO139+BO138+BO136+BO134</f>
        <v>4</v>
      </c>
      <c r="BV140" s="266"/>
      <c r="BW140" s="270"/>
      <c r="CU140" s="54"/>
      <c r="CX140" s="54"/>
    </row>
    <row r="141" spans="1:102">
      <c r="A141" s="335">
        <v>134</v>
      </c>
      <c r="B141" s="39" t="str">
        <f t="shared" si="44"/>
        <v>α lyr</v>
      </c>
      <c r="C141" s="39" t="str">
        <f t="shared" si="45"/>
        <v>μ 57</v>
      </c>
      <c r="F141" s="25" t="s">
        <v>1913</v>
      </c>
      <c r="G141" s="22">
        <v>6</v>
      </c>
      <c r="H141" s="22">
        <v>14</v>
      </c>
      <c r="I141" s="22">
        <v>52.7</v>
      </c>
      <c r="J141" s="22">
        <v>22</v>
      </c>
      <c r="K141" s="22">
        <v>30</v>
      </c>
      <c r="L141" s="22">
        <v>24</v>
      </c>
      <c r="M141" s="22" t="s">
        <v>257</v>
      </c>
      <c r="N141" s="22" t="s">
        <v>258</v>
      </c>
      <c r="R141" s="327"/>
      <c r="S141" s="327"/>
      <c r="T141" s="1" t="str">
        <f t="shared" si="32"/>
        <v>α</v>
      </c>
      <c r="U141" s="1" t="str">
        <f t="shared" si="33"/>
        <v>μ</v>
      </c>
      <c r="V141" s="59"/>
      <c r="X141" s="42" t="s">
        <v>3133</v>
      </c>
      <c r="Y141" s="42" t="s">
        <v>697</v>
      </c>
      <c r="AK141" s="67"/>
      <c r="AU141" s="82"/>
      <c r="BM141" s="266"/>
      <c r="BT141" s="632" t="s">
        <v>4082</v>
      </c>
      <c r="BU141" s="633">
        <v>2</v>
      </c>
      <c r="BV141" s="266"/>
      <c r="BW141" s="270"/>
      <c r="CU141" s="54"/>
      <c r="CX141" s="54"/>
    </row>
    <row r="142" spans="1:102">
      <c r="A142" s="335">
        <v>135</v>
      </c>
      <c r="B142" s="39" t="str">
        <f t="shared" si="44"/>
        <v>α lyr</v>
      </c>
      <c r="C142" s="39" t="str">
        <f t="shared" si="45"/>
        <v>μ 57</v>
      </c>
      <c r="F142" s="25" t="s">
        <v>1914</v>
      </c>
      <c r="G142" s="22">
        <v>6</v>
      </c>
      <c r="H142" s="22">
        <v>22</v>
      </c>
      <c r="I142" s="22">
        <v>57.6</v>
      </c>
      <c r="J142" s="22">
        <v>22</v>
      </c>
      <c r="K142" s="22">
        <v>30</v>
      </c>
      <c r="L142" s="22">
        <v>49</v>
      </c>
      <c r="M142" s="22" t="s">
        <v>259</v>
      </c>
      <c r="N142" s="22" t="s">
        <v>260</v>
      </c>
      <c r="R142" s="327"/>
      <c r="S142" s="327"/>
      <c r="T142" s="1" t="str">
        <f t="shared" si="32"/>
        <v>α</v>
      </c>
      <c r="U142" s="1" t="str">
        <f t="shared" si="33"/>
        <v>μ</v>
      </c>
      <c r="V142" s="59"/>
      <c r="X142" s="42" t="s">
        <v>3282</v>
      </c>
      <c r="Y142" s="42" t="s">
        <v>737</v>
      </c>
      <c r="AK142" s="67"/>
      <c r="AU142" s="82"/>
      <c r="BM142" s="266"/>
      <c r="BN142" s="612" t="s">
        <v>4076</v>
      </c>
      <c r="BT142" s="191" t="s">
        <v>4083</v>
      </c>
      <c r="BU142" s="91">
        <f ca="1">12-BU123</f>
        <v>17.094524754177414</v>
      </c>
      <c r="BV142" s="266"/>
      <c r="BW142" s="270"/>
      <c r="CU142" s="54"/>
      <c r="CX142" s="54"/>
    </row>
    <row r="143" spans="1:102">
      <c r="A143" s="335">
        <v>136</v>
      </c>
      <c r="B143" s="39" t="str">
        <f t="shared" si="44"/>
        <v>α lyr</v>
      </c>
      <c r="C143" s="39" t="str">
        <f t="shared" si="45"/>
        <v>μ 57</v>
      </c>
      <c r="F143" s="27" t="s">
        <v>1915</v>
      </c>
      <c r="G143" s="26"/>
      <c r="H143" s="26"/>
      <c r="I143" s="26"/>
      <c r="J143" s="26"/>
      <c r="K143" s="26"/>
      <c r="L143" s="26"/>
      <c r="M143" s="26" t="s">
        <v>261</v>
      </c>
      <c r="N143" s="26" t="s">
        <v>262</v>
      </c>
      <c r="R143" s="327"/>
      <c r="S143" s="327"/>
      <c r="T143" s="1" t="str">
        <f t="shared" si="32"/>
        <v>α</v>
      </c>
      <c r="U143" s="1" t="str">
        <f t="shared" si="33"/>
        <v>μ</v>
      </c>
      <c r="V143" s="59"/>
      <c r="X143" s="42" t="s">
        <v>3283</v>
      </c>
      <c r="Y143" s="42" t="s">
        <v>737</v>
      </c>
      <c r="AK143" s="67"/>
      <c r="AU143" s="82"/>
      <c r="BM143" s="266"/>
      <c r="BN143" s="63" t="s">
        <v>4084</v>
      </c>
      <c r="BO143" s="520">
        <v>1</v>
      </c>
      <c r="BV143" s="266"/>
      <c r="BW143" s="270"/>
      <c r="CU143" s="54"/>
      <c r="CX143" s="54"/>
    </row>
    <row r="144" spans="1:102" ht="16.5">
      <c r="A144" s="335">
        <v>137</v>
      </c>
      <c r="B144" s="39" t="str">
        <f t="shared" si="44"/>
        <v>α lyr</v>
      </c>
      <c r="C144" s="39" t="str">
        <f t="shared" si="45"/>
        <v>μ 57</v>
      </c>
      <c r="F144" s="25" t="s">
        <v>1916</v>
      </c>
      <c r="G144" s="22">
        <v>14</v>
      </c>
      <c r="H144" s="22">
        <v>4</v>
      </c>
      <c r="I144" s="22">
        <v>23.3</v>
      </c>
      <c r="J144" s="22">
        <v>64</v>
      </c>
      <c r="K144" s="22">
        <v>22</v>
      </c>
      <c r="L144" s="22">
        <v>33</v>
      </c>
      <c r="M144" s="22" t="s">
        <v>263</v>
      </c>
      <c r="N144" s="23" t="s">
        <v>264</v>
      </c>
      <c r="R144" s="327"/>
      <c r="S144" s="327"/>
      <c r="T144" s="1" t="str">
        <f t="shared" si="32"/>
        <v>α</v>
      </c>
      <c r="U144" s="1" t="str">
        <f t="shared" si="33"/>
        <v>μ</v>
      </c>
      <c r="V144" s="59"/>
      <c r="X144" s="42" t="s">
        <v>3284</v>
      </c>
      <c r="Y144" s="42" t="s">
        <v>737</v>
      </c>
      <c r="AK144" s="67"/>
      <c r="AU144" s="82"/>
      <c r="BM144" s="266"/>
      <c r="BN144" s="175" t="s">
        <v>4086</v>
      </c>
      <c r="BO144" s="634">
        <f>BO130</f>
        <v>-69.918095403829298</v>
      </c>
      <c r="BT144" s="632" t="s">
        <v>4085</v>
      </c>
      <c r="BU144" s="633">
        <v>3</v>
      </c>
      <c r="BV144" s="266"/>
      <c r="BW144" s="270"/>
      <c r="CU144" s="54"/>
      <c r="CX144" s="54"/>
    </row>
    <row r="145" spans="1:102" ht="16.5">
      <c r="A145" s="335">
        <v>138</v>
      </c>
      <c r="B145" s="39" t="str">
        <f t="shared" si="44"/>
        <v>α lyr</v>
      </c>
      <c r="C145" s="39" t="str">
        <f t="shared" si="45"/>
        <v>μ 57</v>
      </c>
      <c r="F145" s="25" t="s">
        <v>1917</v>
      </c>
      <c r="G145" s="22">
        <v>17</v>
      </c>
      <c r="H145" s="22">
        <v>30</v>
      </c>
      <c r="I145" s="22">
        <v>26</v>
      </c>
      <c r="J145" s="22">
        <v>52</v>
      </c>
      <c r="K145" s="22">
        <v>18</v>
      </c>
      <c r="L145" s="22">
        <v>5</v>
      </c>
      <c r="M145" s="22" t="s">
        <v>265</v>
      </c>
      <c r="N145" s="23" t="s">
        <v>266</v>
      </c>
      <c r="R145" s="327"/>
      <c r="S145" s="327"/>
      <c r="T145" s="1" t="str">
        <f t="shared" si="32"/>
        <v>α</v>
      </c>
      <c r="U145" s="1" t="str">
        <f t="shared" si="33"/>
        <v>μ</v>
      </c>
      <c r="V145" s="59"/>
      <c r="X145" s="42" t="s">
        <v>3285</v>
      </c>
      <c r="Y145" s="42" t="s">
        <v>737</v>
      </c>
      <c r="AK145" s="67"/>
      <c r="AU145" s="82"/>
      <c r="BM145" s="266"/>
      <c r="BN145" s="43" t="s">
        <v>4088</v>
      </c>
      <c r="BO145" s="635">
        <f>360+BO144</f>
        <v>290.08190459617072</v>
      </c>
      <c r="BT145" s="191" t="s">
        <v>4087</v>
      </c>
      <c r="BU145" s="91">
        <f ca="1">(BU123*-1)+12</f>
        <v>17.094524754177414</v>
      </c>
      <c r="BV145" s="266"/>
      <c r="BW145" s="270"/>
      <c r="CU145" s="54"/>
      <c r="CX145" s="54"/>
    </row>
    <row r="146" spans="1:102">
      <c r="A146" s="335">
        <v>139</v>
      </c>
      <c r="B146" s="39" t="str">
        <f t="shared" si="44"/>
        <v>α lyr</v>
      </c>
      <c r="C146" s="39" t="str">
        <f t="shared" si="45"/>
        <v>μ 57</v>
      </c>
      <c r="F146" s="25" t="s">
        <v>1918</v>
      </c>
      <c r="G146" s="22">
        <v>17</v>
      </c>
      <c r="H146" s="22">
        <v>56</v>
      </c>
      <c r="I146" s="22">
        <v>36.4</v>
      </c>
      <c r="J146" s="22">
        <v>51</v>
      </c>
      <c r="K146" s="22">
        <v>29</v>
      </c>
      <c r="L146" s="22">
        <v>20</v>
      </c>
      <c r="M146" s="22" t="s">
        <v>267</v>
      </c>
      <c r="N146" s="23" t="s">
        <v>268</v>
      </c>
      <c r="R146" s="328"/>
      <c r="S146" s="328"/>
      <c r="T146" s="1" t="str">
        <f t="shared" si="32"/>
        <v>α</v>
      </c>
      <c r="U146" s="1" t="str">
        <f t="shared" si="33"/>
        <v>μ</v>
      </c>
      <c r="V146" s="59"/>
      <c r="X146" s="42" t="s">
        <v>3149</v>
      </c>
      <c r="Y146" s="42" t="s">
        <v>737</v>
      </c>
      <c r="AK146" s="67"/>
      <c r="AU146" s="82"/>
      <c r="BM146" s="266"/>
      <c r="BN146" s="191" t="s">
        <v>4089</v>
      </c>
      <c r="BO146" s="623">
        <f>IF(BO145&gt;360,BO144,BO145)</f>
        <v>290.08190459617072</v>
      </c>
      <c r="BV146" s="266"/>
      <c r="BW146" s="270"/>
      <c r="CU146" s="54"/>
      <c r="CX146" s="54"/>
    </row>
    <row r="147" spans="1:102">
      <c r="A147" s="335">
        <v>140</v>
      </c>
      <c r="B147" s="39" t="str">
        <f t="shared" si="44"/>
        <v>α lyr</v>
      </c>
      <c r="C147" s="39" t="str">
        <f t="shared" si="45"/>
        <v>μ 57</v>
      </c>
      <c r="F147" s="25" t="s">
        <v>1919</v>
      </c>
      <c r="G147" s="22">
        <v>19</v>
      </c>
      <c r="H147" s="22">
        <v>12</v>
      </c>
      <c r="I147" s="22">
        <v>33.299999999999997</v>
      </c>
      <c r="J147" s="22">
        <v>67</v>
      </c>
      <c r="K147" s="22">
        <v>39</v>
      </c>
      <c r="L147" s="22">
        <v>42</v>
      </c>
      <c r="M147" s="22" t="s">
        <v>269</v>
      </c>
      <c r="N147" s="23" t="s">
        <v>270</v>
      </c>
      <c r="T147" s="73" t="str">
        <f>T146</f>
        <v>α</v>
      </c>
      <c r="U147" s="73" t="str">
        <f>U146</f>
        <v>μ</v>
      </c>
      <c r="V147" s="59"/>
      <c r="X147" s="42" t="s">
        <v>3286</v>
      </c>
      <c r="Y147" s="42" t="s">
        <v>737</v>
      </c>
      <c r="AK147" s="67"/>
      <c r="AU147" s="82"/>
      <c r="BM147" s="266"/>
      <c r="BT147" s="632" t="s">
        <v>4090</v>
      </c>
      <c r="BU147" s="633">
        <v>4</v>
      </c>
      <c r="BV147" s="266"/>
      <c r="BW147" s="270"/>
      <c r="CU147" s="54"/>
      <c r="CX147" s="54"/>
    </row>
    <row r="148" spans="1:102">
      <c r="A148" s="335">
        <v>141</v>
      </c>
      <c r="B148" s="39" t="str">
        <f t="shared" si="44"/>
        <v>α lyr</v>
      </c>
      <c r="C148" s="39" t="str">
        <f t="shared" si="45"/>
        <v>μ 57</v>
      </c>
      <c r="F148" s="25" t="s">
        <v>1920</v>
      </c>
      <c r="G148" s="22">
        <v>19</v>
      </c>
      <c r="H148" s="22">
        <v>48</v>
      </c>
      <c r="I148" s="22">
        <v>10.4</v>
      </c>
      <c r="J148" s="22">
        <v>70</v>
      </c>
      <c r="K148" s="22">
        <v>16</v>
      </c>
      <c r="L148" s="22">
        <v>4</v>
      </c>
      <c r="M148" s="22" t="s">
        <v>271</v>
      </c>
      <c r="N148" s="23" t="s">
        <v>272</v>
      </c>
      <c r="S148" s="63" t="s">
        <v>2973</v>
      </c>
      <c r="V148" s="59"/>
      <c r="X148" s="42" t="s">
        <v>3287</v>
      </c>
      <c r="Y148" s="42" t="s">
        <v>741</v>
      </c>
      <c r="AK148" s="67"/>
      <c r="AU148" s="82"/>
      <c r="BM148" s="266"/>
      <c r="BN148" s="63" t="s">
        <v>4092</v>
      </c>
      <c r="BO148" s="520">
        <v>2</v>
      </c>
      <c r="BT148" s="43" t="s">
        <v>4091</v>
      </c>
      <c r="BU148" s="372">
        <f ca="1">24+BU123</f>
        <v>18.905475245822586</v>
      </c>
      <c r="BV148" s="266"/>
      <c r="BW148" s="270"/>
      <c r="CU148" s="54"/>
      <c r="CX148" s="54"/>
    </row>
    <row r="149" spans="1:102" ht="16.5">
      <c r="A149" s="335">
        <v>142</v>
      </c>
      <c r="B149" s="39" t="str">
        <f t="shared" si="44"/>
        <v>α lyr</v>
      </c>
      <c r="C149" s="39" t="str">
        <f t="shared" si="45"/>
        <v>μ 57</v>
      </c>
      <c r="F149" s="25" t="s">
        <v>1921</v>
      </c>
      <c r="G149" s="22">
        <v>17</v>
      </c>
      <c r="H149" s="22">
        <v>8</v>
      </c>
      <c r="I149" s="22">
        <v>47.2</v>
      </c>
      <c r="J149" s="22">
        <v>65</v>
      </c>
      <c r="K149" s="22">
        <v>42</v>
      </c>
      <c r="L149" s="22">
        <v>53</v>
      </c>
      <c r="M149" s="22" t="s">
        <v>273</v>
      </c>
      <c r="N149" s="23" t="s">
        <v>274</v>
      </c>
      <c r="S149" s="307" t="s">
        <v>2673</v>
      </c>
      <c r="V149" s="59"/>
      <c r="X149" s="42" t="s">
        <v>3145</v>
      </c>
      <c r="Y149" s="42" t="s">
        <v>741</v>
      </c>
      <c r="AK149" s="67"/>
      <c r="AU149" s="82"/>
      <c r="BM149" s="266"/>
      <c r="BN149" s="637" t="s">
        <v>4093</v>
      </c>
      <c r="BO149" s="623">
        <f>180-BO130</f>
        <v>249.91809540382928</v>
      </c>
      <c r="BT149" s="43" t="s">
        <v>4064</v>
      </c>
      <c r="BU149" s="636">
        <f ca="1">BU123</f>
        <v>-5.0945247541774137</v>
      </c>
      <c r="BV149" s="266"/>
      <c r="BW149" s="270"/>
      <c r="CU149" s="54"/>
      <c r="CX149" s="54"/>
    </row>
    <row r="150" spans="1:102">
      <c r="A150" s="335">
        <v>143</v>
      </c>
      <c r="B150" s="39" t="str">
        <f t="shared" si="44"/>
        <v>α lyr</v>
      </c>
      <c r="C150" s="39" t="str">
        <f t="shared" si="45"/>
        <v>μ 57</v>
      </c>
      <c r="F150" s="25" t="s">
        <v>1922</v>
      </c>
      <c r="G150" s="22">
        <v>16</v>
      </c>
      <c r="H150" s="22">
        <v>23</v>
      </c>
      <c r="I150" s="22">
        <v>59.5</v>
      </c>
      <c r="J150" s="22">
        <v>61</v>
      </c>
      <c r="K150" s="22">
        <v>30</v>
      </c>
      <c r="L150" s="22">
        <v>51</v>
      </c>
      <c r="M150" s="22" t="s">
        <v>275</v>
      </c>
      <c r="N150" s="23" t="s">
        <v>276</v>
      </c>
      <c r="S150" s="313" t="s">
        <v>2974</v>
      </c>
      <c r="T150" s="73" t="str">
        <f>T147</f>
        <v>α</v>
      </c>
      <c r="V150" s="59"/>
      <c r="X150" s="42" t="s">
        <v>3288</v>
      </c>
      <c r="Y150" s="42" t="s">
        <v>743</v>
      </c>
      <c r="AK150" s="67"/>
      <c r="AU150" s="82"/>
      <c r="BM150" s="266"/>
      <c r="BN150" s="39"/>
      <c r="BO150" s="62"/>
      <c r="BT150" s="43" t="s">
        <v>4094</v>
      </c>
      <c r="BU150" s="635">
        <f ca="1" xml:space="preserve"> IF(BU148&gt;0,BU149,BU148)</f>
        <v>-5.0945247541774137</v>
      </c>
      <c r="BV150" s="266"/>
      <c r="BW150" s="270"/>
      <c r="CU150" s="54"/>
      <c r="CX150" s="54"/>
    </row>
    <row r="151" spans="1:102">
      <c r="A151" s="335">
        <v>144</v>
      </c>
      <c r="B151" s="39" t="str">
        <f t="shared" si="44"/>
        <v>α lyr</v>
      </c>
      <c r="C151" s="39" t="str">
        <f t="shared" si="45"/>
        <v>μ 57</v>
      </c>
      <c r="F151" s="25" t="s">
        <v>1923</v>
      </c>
      <c r="G151" s="22">
        <v>16</v>
      </c>
      <c r="H151" s="22">
        <v>1</v>
      </c>
      <c r="I151" s="22">
        <v>53.3</v>
      </c>
      <c r="J151" s="22">
        <v>58</v>
      </c>
      <c r="K151" s="22">
        <v>33</v>
      </c>
      <c r="L151" s="22">
        <v>55</v>
      </c>
      <c r="M151" s="22" t="s">
        <v>277</v>
      </c>
      <c r="N151" s="23" t="s">
        <v>278</v>
      </c>
      <c r="R151" s="1" t="s">
        <v>2975</v>
      </c>
      <c r="S151" s="1" t="s">
        <v>2976</v>
      </c>
      <c r="T151" s="69" t="str">
        <f>IF(T152=0,""," ")</f>
        <v xml:space="preserve"> </v>
      </c>
      <c r="V151" s="59"/>
      <c r="X151" s="42" t="s">
        <v>3152</v>
      </c>
      <c r="Y151" s="42" t="s">
        <v>743</v>
      </c>
      <c r="AK151" s="67"/>
      <c r="AU151" s="82"/>
      <c r="BM151" s="266"/>
      <c r="BN151" s="63" t="s">
        <v>4096</v>
      </c>
      <c r="BO151" s="520">
        <v>3</v>
      </c>
      <c r="BT151" s="191" t="s">
        <v>4095</v>
      </c>
      <c r="BU151" s="91">
        <f ca="1">IF(BU150&lt;0,BU148,BU150)</f>
        <v>18.905475245822586</v>
      </c>
      <c r="BV151" s="266"/>
      <c r="BW151" s="270"/>
      <c r="CU151" s="54"/>
      <c r="CX151" s="54"/>
    </row>
    <row r="152" spans="1:102" ht="16.5">
      <c r="A152" s="335">
        <v>145</v>
      </c>
      <c r="B152" s="39" t="str">
        <f t="shared" si="44"/>
        <v>α lyr</v>
      </c>
      <c r="C152" s="39" t="str">
        <f t="shared" si="45"/>
        <v>μ 57</v>
      </c>
      <c r="F152" s="25" t="s">
        <v>1924</v>
      </c>
      <c r="G152" s="22">
        <v>15</v>
      </c>
      <c r="H152" s="22">
        <v>24</v>
      </c>
      <c r="I152" s="22">
        <v>55.8</v>
      </c>
      <c r="J152" s="22">
        <v>58</v>
      </c>
      <c r="K152" s="22">
        <v>57</v>
      </c>
      <c r="L152" s="22">
        <v>58</v>
      </c>
      <c r="M152" s="22" t="s">
        <v>279</v>
      </c>
      <c r="N152" s="23" t="s">
        <v>280</v>
      </c>
      <c r="S152" s="329" t="s">
        <v>2977</v>
      </c>
      <c r="T152" s="330" t="str">
        <f>T26</f>
        <v>lyr</v>
      </c>
      <c r="V152" s="59"/>
      <c r="X152" s="42" t="s">
        <v>3289</v>
      </c>
      <c r="Y152" s="42" t="s">
        <v>83</v>
      </c>
      <c r="AK152" s="67"/>
      <c r="AU152" s="82"/>
      <c r="BM152" s="266"/>
      <c r="BN152" s="637" t="s">
        <v>4093</v>
      </c>
      <c r="BO152" s="623">
        <f>BO149</f>
        <v>249.91809540382928</v>
      </c>
      <c r="BV152" s="266"/>
      <c r="BW152" s="270"/>
      <c r="CU152" s="54"/>
      <c r="CX152" s="54"/>
    </row>
    <row r="153" spans="1:102">
      <c r="A153" s="335">
        <v>146</v>
      </c>
      <c r="B153" s="39" t="str">
        <f t="shared" si="44"/>
        <v>α lyr</v>
      </c>
      <c r="C153" s="39" t="str">
        <f t="shared" si="45"/>
        <v>μ 57</v>
      </c>
      <c r="F153" s="25" t="s">
        <v>1925</v>
      </c>
      <c r="G153" s="22">
        <v>12</v>
      </c>
      <c r="H153" s="22">
        <v>33</v>
      </c>
      <c r="I153" s="22">
        <v>29</v>
      </c>
      <c r="J153" s="22">
        <v>69</v>
      </c>
      <c r="K153" s="22">
        <v>47</v>
      </c>
      <c r="L153" s="22">
        <v>18</v>
      </c>
      <c r="M153" s="22" t="s">
        <v>3945</v>
      </c>
      <c r="N153" s="23" t="s">
        <v>3946</v>
      </c>
      <c r="S153" s="1" t="s">
        <v>2978</v>
      </c>
      <c r="T153" s="1" t="str">
        <f>IF(T152=0,"",T152)</f>
        <v>lyr</v>
      </c>
      <c r="V153" s="59"/>
      <c r="X153" s="42" t="s">
        <v>3290</v>
      </c>
      <c r="Y153" s="42" t="s">
        <v>83</v>
      </c>
      <c r="AK153" s="67"/>
      <c r="AU153" s="82"/>
      <c r="BM153" s="266"/>
      <c r="BV153" s="266"/>
      <c r="BW153" s="270"/>
      <c r="CU153" s="54"/>
      <c r="CX153" s="54"/>
    </row>
    <row r="154" spans="1:102">
      <c r="A154" s="335">
        <v>147</v>
      </c>
      <c r="B154" s="39" t="str">
        <f t="shared" si="44"/>
        <v>α lyr</v>
      </c>
      <c r="C154" s="39" t="str">
        <f t="shared" si="45"/>
        <v>μ 57</v>
      </c>
      <c r="F154" s="25" t="s">
        <v>1926</v>
      </c>
      <c r="G154" s="22">
        <v>11</v>
      </c>
      <c r="H154" s="22">
        <v>31</v>
      </c>
      <c r="I154" s="22">
        <v>24.2</v>
      </c>
      <c r="J154" s="22">
        <v>69</v>
      </c>
      <c r="K154" s="22">
        <v>19</v>
      </c>
      <c r="L154" s="22">
        <v>52</v>
      </c>
      <c r="M154" s="22" t="s">
        <v>281</v>
      </c>
      <c r="N154" s="23" t="s">
        <v>282</v>
      </c>
      <c r="S154" s="1" t="s">
        <v>2979</v>
      </c>
      <c r="T154" s="331" t="str">
        <f>CONCATENATE(T150,T151,T153)</f>
        <v>α lyr</v>
      </c>
      <c r="V154" s="59"/>
      <c r="X154" s="42" t="s">
        <v>3291</v>
      </c>
      <c r="Y154" s="42" t="s">
        <v>83</v>
      </c>
      <c r="AK154" s="67"/>
      <c r="AU154" s="82"/>
      <c r="BM154" s="266"/>
      <c r="BN154" s="63" t="s">
        <v>4098</v>
      </c>
      <c r="BO154" s="520">
        <v>4</v>
      </c>
      <c r="BT154" s="63" t="s">
        <v>4097</v>
      </c>
      <c r="BV154" s="266"/>
      <c r="BW154" s="270"/>
      <c r="CU154" s="54"/>
      <c r="CX154" s="54"/>
    </row>
    <row r="155" spans="1:102" ht="16.5">
      <c r="A155" s="335">
        <v>148</v>
      </c>
      <c r="B155" s="39" t="str">
        <f t="shared" si="44"/>
        <v>α lyr</v>
      </c>
      <c r="C155" s="39" t="str">
        <f t="shared" si="45"/>
        <v>μ 57</v>
      </c>
      <c r="F155" s="25" t="s">
        <v>1927</v>
      </c>
      <c r="G155" s="22">
        <v>17</v>
      </c>
      <c r="H155" s="22">
        <v>32</v>
      </c>
      <c r="I155" s="22">
        <v>15.9</v>
      </c>
      <c r="J155" s="22">
        <v>55</v>
      </c>
      <c r="K155" s="22">
        <v>10</v>
      </c>
      <c r="L155" s="22">
        <v>22</v>
      </c>
      <c r="M155" s="22" t="s">
        <v>283</v>
      </c>
      <c r="N155" s="23" t="s">
        <v>284</v>
      </c>
      <c r="S155" s="1" t="s">
        <v>2980</v>
      </c>
      <c r="T155" s="275" t="str">
        <f>IF(T150=0,0,T154)</f>
        <v>α lyr</v>
      </c>
      <c r="V155" s="59"/>
      <c r="X155" s="42" t="s">
        <v>3225</v>
      </c>
      <c r="Y155" s="42" t="s">
        <v>83</v>
      </c>
      <c r="AK155" s="67"/>
      <c r="AU155" s="82"/>
      <c r="BM155" s="266"/>
      <c r="BN155" s="175" t="s">
        <v>4088</v>
      </c>
      <c r="BO155" s="639">
        <f>BO130+360</f>
        <v>290.08190459617072</v>
      </c>
      <c r="BT155" s="63" t="s">
        <v>4099</v>
      </c>
      <c r="BU155" s="638">
        <f ca="1">BU132</f>
        <v>4</v>
      </c>
      <c r="BV155" s="266"/>
      <c r="BW155" s="270"/>
      <c r="CU155" s="54"/>
      <c r="CX155" s="54"/>
    </row>
    <row r="156" spans="1:102">
      <c r="A156" s="335">
        <v>149</v>
      </c>
      <c r="B156" s="39" t="str">
        <f t="shared" si="44"/>
        <v>α lyr</v>
      </c>
      <c r="C156" s="39" t="str">
        <f t="shared" si="45"/>
        <v>μ 57</v>
      </c>
      <c r="F156" s="25" t="s">
        <v>1928</v>
      </c>
      <c r="G156" s="22">
        <v>17</v>
      </c>
      <c r="H156" s="22">
        <v>53</v>
      </c>
      <c r="I156" s="22">
        <v>31.7</v>
      </c>
      <c r="J156" s="22">
        <v>56</v>
      </c>
      <c r="K156" s="22">
        <v>52</v>
      </c>
      <c r="L156" s="22">
        <v>22</v>
      </c>
      <c r="M156" s="22" t="s">
        <v>285</v>
      </c>
      <c r="N156" s="23" t="s">
        <v>286</v>
      </c>
      <c r="S156" s="308" t="s">
        <v>2667</v>
      </c>
      <c r="V156" s="59"/>
      <c r="X156" s="42" t="s">
        <v>3292</v>
      </c>
      <c r="Y156" s="42" t="s">
        <v>567</v>
      </c>
      <c r="AK156" s="67"/>
      <c r="AU156" s="82"/>
      <c r="BM156" s="266"/>
      <c r="BN156" s="43"/>
      <c r="BO156" s="640">
        <f>BO130</f>
        <v>-69.918095403829298</v>
      </c>
      <c r="BT156" s="69">
        <v>1</v>
      </c>
      <c r="BU156" s="69">
        <f ca="1">BU138</f>
        <v>18.905475245822586</v>
      </c>
      <c r="BV156" s="266"/>
      <c r="BW156" s="270"/>
      <c r="CU156" s="54"/>
      <c r="CX156" s="54"/>
    </row>
    <row r="157" spans="1:102">
      <c r="A157" s="335">
        <v>150</v>
      </c>
      <c r="B157" s="39" t="str">
        <f t="shared" si="44"/>
        <v>α lyr</v>
      </c>
      <c r="C157" s="39" t="str">
        <f t="shared" si="45"/>
        <v>μ 57</v>
      </c>
      <c r="F157" s="25" t="s">
        <v>1929</v>
      </c>
      <c r="G157" s="22">
        <v>19</v>
      </c>
      <c r="H157" s="22">
        <v>15</v>
      </c>
      <c r="I157" s="22">
        <v>33.1</v>
      </c>
      <c r="J157" s="22">
        <v>73</v>
      </c>
      <c r="K157" s="22">
        <v>21</v>
      </c>
      <c r="L157" s="22">
        <v>20</v>
      </c>
      <c r="M157" s="22" t="s">
        <v>287</v>
      </c>
      <c r="N157" s="23" t="s">
        <v>288</v>
      </c>
      <c r="R157" s="1" t="s">
        <v>2975</v>
      </c>
      <c r="S157" s="332" t="s">
        <v>2974</v>
      </c>
      <c r="T157" s="73" t="str">
        <f>U147</f>
        <v>μ</v>
      </c>
      <c r="V157" s="59"/>
      <c r="X157" s="42" t="s">
        <v>3293</v>
      </c>
      <c r="Y157" s="42" t="s">
        <v>567</v>
      </c>
      <c r="AK157" s="67"/>
      <c r="AU157" s="82"/>
      <c r="BM157" s="266"/>
      <c r="BN157" s="191" t="s">
        <v>4100</v>
      </c>
      <c r="BO157" s="641">
        <f>IF(BO155&gt;360,BO156,BO155)</f>
        <v>290.08190459617072</v>
      </c>
      <c r="BT157" s="42">
        <v>2</v>
      </c>
      <c r="BU157" s="42">
        <f ca="1">BU142</f>
        <v>17.094524754177414</v>
      </c>
      <c r="BV157" s="266"/>
      <c r="BW157" s="270"/>
      <c r="CU157" s="54"/>
      <c r="CX157" s="54"/>
    </row>
    <row r="158" spans="1:102">
      <c r="A158" s="335">
        <v>151</v>
      </c>
      <c r="B158" s="39" t="str">
        <f t="shared" si="44"/>
        <v>α lyr</v>
      </c>
      <c r="C158" s="39" t="str">
        <f t="shared" si="45"/>
        <v>μ 57</v>
      </c>
      <c r="F158" s="25" t="s">
        <v>1930</v>
      </c>
      <c r="G158" s="22">
        <v>18</v>
      </c>
      <c r="H158" s="22">
        <v>20</v>
      </c>
      <c r="I158" s="22">
        <v>45.5</v>
      </c>
      <c r="J158" s="22">
        <v>71</v>
      </c>
      <c r="K158" s="22">
        <v>20</v>
      </c>
      <c r="L158" s="22">
        <v>16</v>
      </c>
      <c r="M158" s="22" t="s">
        <v>289</v>
      </c>
      <c r="N158" s="23" t="s">
        <v>290</v>
      </c>
      <c r="S158" s="1" t="s">
        <v>2976</v>
      </c>
      <c r="T158" s="61" t="str">
        <f>IF(T159=0,""," ")</f>
        <v xml:space="preserve"> </v>
      </c>
      <c r="V158" s="59"/>
      <c r="X158" s="42" t="s">
        <v>3294</v>
      </c>
      <c r="Y158" s="42" t="s">
        <v>567</v>
      </c>
      <c r="AK158" s="67"/>
      <c r="AU158" s="82"/>
      <c r="BM158" s="266"/>
      <c r="BT158" s="42">
        <v>3</v>
      </c>
      <c r="BU158" s="42">
        <f ca="1">BU145</f>
        <v>17.094524754177414</v>
      </c>
      <c r="BV158" s="266"/>
      <c r="BW158" s="270"/>
      <c r="CU158" s="54"/>
      <c r="CX158" s="54"/>
    </row>
    <row r="159" spans="1:102">
      <c r="A159" s="335">
        <v>152</v>
      </c>
      <c r="B159" s="39" t="str">
        <f t="shared" si="44"/>
        <v>α lyr</v>
      </c>
      <c r="C159" s="39" t="str">
        <f t="shared" si="45"/>
        <v>μ 57</v>
      </c>
      <c r="F159" s="25" t="s">
        <v>1931</v>
      </c>
      <c r="G159" s="22">
        <v>18</v>
      </c>
      <c r="H159" s="22">
        <v>21</v>
      </c>
      <c r="I159" s="22">
        <v>3.4</v>
      </c>
      <c r="J159" s="22">
        <v>72</v>
      </c>
      <c r="K159" s="22">
        <v>43</v>
      </c>
      <c r="L159" s="22">
        <v>58</v>
      </c>
      <c r="M159" s="22" t="s">
        <v>291</v>
      </c>
      <c r="N159" s="23" t="s">
        <v>292</v>
      </c>
      <c r="S159" s="329" t="s">
        <v>2977</v>
      </c>
      <c r="T159" s="93" t="str">
        <f>T39</f>
        <v>57</v>
      </c>
      <c r="V159" s="59"/>
      <c r="X159" s="42" t="s">
        <v>3295</v>
      </c>
      <c r="Y159" s="42" t="s">
        <v>567</v>
      </c>
      <c r="AK159" s="67"/>
      <c r="AU159" s="82"/>
      <c r="BM159" s="266"/>
      <c r="BN159" s="63" t="s">
        <v>4101</v>
      </c>
      <c r="BO159" s="642">
        <f>BO140</f>
        <v>4</v>
      </c>
      <c r="BT159" s="70">
        <v>4</v>
      </c>
      <c r="BU159" s="42">
        <f ca="1">BU151</f>
        <v>18.905475245822586</v>
      </c>
      <c r="BV159" s="266"/>
      <c r="BW159" s="270"/>
      <c r="CU159" s="54"/>
      <c r="CX159" s="54"/>
    </row>
    <row r="160" spans="1:102">
      <c r="A160" s="335">
        <v>153</v>
      </c>
      <c r="B160" s="39" t="str">
        <f t="shared" si="44"/>
        <v>α lyr</v>
      </c>
      <c r="C160" s="39" t="str">
        <f t="shared" si="45"/>
        <v>μ 57</v>
      </c>
      <c r="F160" s="36" t="s">
        <v>2688</v>
      </c>
      <c r="G160" s="37"/>
      <c r="H160" s="37"/>
      <c r="I160" s="37"/>
      <c r="J160" s="37"/>
      <c r="K160" s="37"/>
      <c r="L160" s="37"/>
      <c r="M160" s="37" t="s">
        <v>293</v>
      </c>
      <c r="N160" s="37" t="s">
        <v>294</v>
      </c>
      <c r="S160" s="1" t="s">
        <v>2978</v>
      </c>
      <c r="T160" s="1" t="str">
        <f>IF(T159=0,"",T159)</f>
        <v>57</v>
      </c>
      <c r="V160" s="59"/>
      <c r="X160" s="42" t="s">
        <v>3296</v>
      </c>
      <c r="Y160" s="42" t="s">
        <v>567</v>
      </c>
      <c r="AK160" s="67"/>
      <c r="AU160" s="82"/>
      <c r="BM160" s="266"/>
      <c r="BN160" s="69">
        <v>1</v>
      </c>
      <c r="BO160" s="69">
        <f>BO146</f>
        <v>290.08190459617072</v>
      </c>
      <c r="BT160" s="1" t="s">
        <v>4102</v>
      </c>
      <c r="BU160" s="623">
        <f ca="1">LOOKUP(BU155,(BT156:BT159),(BU156:BU159))</f>
        <v>18.905475245822586</v>
      </c>
      <c r="BV160" s="266"/>
      <c r="BW160" s="270"/>
      <c r="CU160" s="54"/>
      <c r="CX160" s="54"/>
    </row>
    <row r="161" spans="1:102">
      <c r="A161" s="335">
        <v>154</v>
      </c>
      <c r="B161" s="39" t="str">
        <f t="shared" si="44"/>
        <v>α lyr</v>
      </c>
      <c r="C161" s="39" t="str">
        <f t="shared" si="45"/>
        <v>μ 57</v>
      </c>
      <c r="F161" s="25" t="s">
        <v>1932</v>
      </c>
      <c r="G161" s="38">
        <v>5</v>
      </c>
      <c r="H161" s="38">
        <v>27</v>
      </c>
      <c r="I161" s="38">
        <v>28.2</v>
      </c>
      <c r="J161" s="38">
        <v>-12</v>
      </c>
      <c r="K161" s="38">
        <v>-41</v>
      </c>
      <c r="L161" s="38">
        <v>-50</v>
      </c>
      <c r="M161" s="22" t="s">
        <v>295</v>
      </c>
      <c r="N161" s="39" t="s">
        <v>296</v>
      </c>
      <c r="S161" s="1" t="s">
        <v>2979</v>
      </c>
      <c r="T161" s="331" t="str">
        <f>CONCATENATE(T157,T158,T160)</f>
        <v>μ 57</v>
      </c>
      <c r="V161" s="59"/>
      <c r="X161" s="42" t="s">
        <v>3297</v>
      </c>
      <c r="Y161" s="42" t="s">
        <v>567</v>
      </c>
      <c r="AK161" s="67"/>
      <c r="AU161" s="82"/>
      <c r="BM161" s="266"/>
      <c r="BN161" s="42">
        <v>2</v>
      </c>
      <c r="BO161" s="42">
        <f>BO149</f>
        <v>249.91809540382928</v>
      </c>
      <c r="BV161" s="266"/>
      <c r="BW161" s="270"/>
      <c r="CU161" s="54"/>
      <c r="CX161" s="54"/>
    </row>
    <row r="162" spans="1:102">
      <c r="A162" s="335">
        <v>155</v>
      </c>
      <c r="B162" s="39" t="str">
        <f t="shared" si="44"/>
        <v>α lyr</v>
      </c>
      <c r="C162" s="39" t="str">
        <f t="shared" si="45"/>
        <v>μ 57</v>
      </c>
      <c r="F162" s="25" t="s">
        <v>1933</v>
      </c>
      <c r="G162" s="38">
        <v>18</v>
      </c>
      <c r="H162" s="38">
        <v>10</v>
      </c>
      <c r="I162" s="38">
        <v>44.3</v>
      </c>
      <c r="J162" s="38">
        <v>-7</v>
      </c>
      <c r="K162" s="38">
        <v>-12</v>
      </c>
      <c r="L162" s="38">
        <v>-27</v>
      </c>
      <c r="M162" s="22" t="s">
        <v>297</v>
      </c>
      <c r="N162" s="23" t="s">
        <v>298</v>
      </c>
      <c r="S162" s="1" t="s">
        <v>2980</v>
      </c>
      <c r="T162" s="333" t="str">
        <f>IF(T157=0,0,T161)</f>
        <v>μ 57</v>
      </c>
      <c r="V162" s="59"/>
      <c r="X162" s="42" t="s">
        <v>3298</v>
      </c>
      <c r="Y162" s="42" t="s">
        <v>567</v>
      </c>
      <c r="AK162" s="67"/>
      <c r="AU162" s="82"/>
      <c r="BM162" s="266"/>
      <c r="BN162" s="42">
        <v>3</v>
      </c>
      <c r="BO162" s="42">
        <f>BO152</f>
        <v>249.91809540382928</v>
      </c>
      <c r="BV162" s="266"/>
      <c r="BW162" s="270"/>
      <c r="CU162" s="54"/>
      <c r="CX162" s="54"/>
    </row>
    <row r="163" spans="1:102">
      <c r="A163" s="335">
        <v>156</v>
      </c>
      <c r="B163" s="39" t="str">
        <f t="shared" si="44"/>
        <v>α lyr</v>
      </c>
      <c r="C163" s="39" t="str">
        <f t="shared" si="45"/>
        <v>μ 57</v>
      </c>
      <c r="F163" s="25" t="s">
        <v>1934</v>
      </c>
      <c r="G163" s="38">
        <v>3</v>
      </c>
      <c r="H163" s="38">
        <v>56</v>
      </c>
      <c r="I163" s="38">
        <v>22</v>
      </c>
      <c r="J163" s="38">
        <v>33</v>
      </c>
      <c r="K163" s="38">
        <v>52</v>
      </c>
      <c r="L163" s="38">
        <v>29</v>
      </c>
      <c r="M163" s="22" t="s">
        <v>299</v>
      </c>
      <c r="N163" s="22" t="s">
        <v>299</v>
      </c>
      <c r="V163" s="59"/>
      <c r="X163" s="42" t="s">
        <v>3299</v>
      </c>
      <c r="Y163" s="42" t="s">
        <v>567</v>
      </c>
      <c r="AK163" s="67"/>
      <c r="AU163" s="82"/>
      <c r="BM163" s="266"/>
      <c r="BN163" s="70">
        <v>4</v>
      </c>
      <c r="BO163" s="42">
        <f>BO157</f>
        <v>290.08190459617072</v>
      </c>
      <c r="BV163" s="266"/>
      <c r="BW163" s="270"/>
      <c r="CU163" s="54"/>
      <c r="CX163" s="54"/>
    </row>
    <row r="164" spans="1:102">
      <c r="A164" s="335">
        <v>157</v>
      </c>
      <c r="B164" s="39" t="str">
        <f t="shared" si="44"/>
        <v>α lyr</v>
      </c>
      <c r="C164" s="39" t="str">
        <f t="shared" si="45"/>
        <v>μ 57</v>
      </c>
      <c r="F164" s="25" t="s">
        <v>1935</v>
      </c>
      <c r="G164" s="38">
        <v>5</v>
      </c>
      <c r="H164" s="38">
        <v>56</v>
      </c>
      <c r="I164" s="38">
        <v>23.9</v>
      </c>
      <c r="J164" s="38">
        <v>46</v>
      </c>
      <c r="K164" s="38">
        <v>6</v>
      </c>
      <c r="L164" s="38">
        <v>18</v>
      </c>
      <c r="M164" s="22" t="s">
        <v>300</v>
      </c>
      <c r="N164" s="23" t="s">
        <v>301</v>
      </c>
      <c r="V164" s="59"/>
      <c r="X164" s="42" t="s">
        <v>3300</v>
      </c>
      <c r="Y164" s="42" t="s">
        <v>567</v>
      </c>
      <c r="AK164" s="67"/>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266"/>
      <c r="BN164" s="63" t="s">
        <v>4103</v>
      </c>
      <c r="BO164" s="613">
        <f>LOOKUP(BO159,(BN160:BN163),(BO160:BO163))</f>
        <v>290.08190459617072</v>
      </c>
      <c r="BV164" s="266"/>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row>
    <row r="165" spans="1:102">
      <c r="A165" s="335">
        <v>158</v>
      </c>
      <c r="B165" s="39" t="str">
        <f t="shared" si="44"/>
        <v>α lyr</v>
      </c>
      <c r="C165" s="39" t="str">
        <f t="shared" si="45"/>
        <v>μ 57</v>
      </c>
      <c r="F165" s="25" t="s">
        <v>1936</v>
      </c>
      <c r="G165" s="38">
        <v>6</v>
      </c>
      <c r="H165" s="38">
        <v>21</v>
      </c>
      <c r="I165" s="38">
        <v>42.8</v>
      </c>
      <c r="J165" s="38">
        <v>-12</v>
      </c>
      <c r="K165" s="38">
        <v>-59</v>
      </c>
      <c r="L165" s="38">
        <v>-14</v>
      </c>
      <c r="M165" s="22" t="s">
        <v>302</v>
      </c>
      <c r="N165" s="23" t="s">
        <v>301</v>
      </c>
      <c r="V165" s="59"/>
      <c r="X165" s="42" t="s">
        <v>3301</v>
      </c>
      <c r="Y165" s="42" t="s">
        <v>567</v>
      </c>
      <c r="AK165" s="67"/>
      <c r="BM165" s="269"/>
      <c r="BN165" s="266"/>
      <c r="BO165" s="266"/>
      <c r="BP165" s="266"/>
      <c r="BQ165" s="266"/>
      <c r="BR165" s="266"/>
      <c r="BS165" s="266"/>
      <c r="BT165" s="266"/>
      <c r="BU165" s="266"/>
      <c r="BV165" s="266"/>
    </row>
    <row r="166" spans="1:102">
      <c r="A166" s="335">
        <v>159</v>
      </c>
      <c r="B166" s="39" t="str">
        <f t="shared" si="44"/>
        <v>α lyr</v>
      </c>
      <c r="C166" s="39" t="str">
        <f t="shared" si="45"/>
        <v>μ 57</v>
      </c>
      <c r="F166" s="25" t="s">
        <v>1937</v>
      </c>
      <c r="G166" s="38">
        <v>12</v>
      </c>
      <c r="H166" s="38">
        <v>33</v>
      </c>
      <c r="I166" s="38">
        <v>6.9</v>
      </c>
      <c r="J166" s="38">
        <v>82</v>
      </c>
      <c r="K166" s="38">
        <v>33</v>
      </c>
      <c r="L166" s="38">
        <v>49</v>
      </c>
      <c r="M166" s="22" t="s">
        <v>303</v>
      </c>
      <c r="N166" s="39" t="s">
        <v>304</v>
      </c>
      <c r="V166" s="59"/>
      <c r="X166" s="42" t="s">
        <v>3302</v>
      </c>
      <c r="Y166" s="42" t="s">
        <v>567</v>
      </c>
      <c r="AK166" s="67"/>
    </row>
    <row r="167" spans="1:102">
      <c r="A167" s="335">
        <v>160</v>
      </c>
      <c r="B167" s="39" t="str">
        <f t="shared" si="44"/>
        <v>α lyr</v>
      </c>
      <c r="C167" s="39" t="str">
        <f t="shared" si="45"/>
        <v>μ 57</v>
      </c>
      <c r="F167" s="25" t="s">
        <v>1938</v>
      </c>
      <c r="G167" s="38">
        <v>18</v>
      </c>
      <c r="H167" s="38">
        <v>45</v>
      </c>
      <c r="I167" s="38">
        <v>50.7</v>
      </c>
      <c r="J167" s="38">
        <v>-33</v>
      </c>
      <c r="K167" s="38">
        <v>-20</v>
      </c>
      <c r="L167" s="38">
        <v>-34</v>
      </c>
      <c r="M167" s="22" t="s">
        <v>305</v>
      </c>
      <c r="N167" s="23" t="s">
        <v>301</v>
      </c>
      <c r="V167" s="59"/>
      <c r="X167" s="42" t="s">
        <v>3303</v>
      </c>
      <c r="Y167" s="42" t="s">
        <v>567</v>
      </c>
      <c r="AK167" s="67"/>
    </row>
    <row r="168" spans="1:102">
      <c r="A168" s="335">
        <v>161</v>
      </c>
      <c r="B168" s="39" t="str">
        <f t="shared" si="44"/>
        <v>α lyr</v>
      </c>
      <c r="C168" s="39" t="str">
        <f t="shared" si="45"/>
        <v>μ 57</v>
      </c>
      <c r="F168" s="25" t="s">
        <v>1939</v>
      </c>
      <c r="G168" s="38">
        <v>20</v>
      </c>
      <c r="H168" s="38">
        <v>20</v>
      </c>
      <c r="I168" s="38">
        <v>8.8000000000000007</v>
      </c>
      <c r="J168" s="38">
        <v>16</v>
      </c>
      <c r="K168" s="38">
        <v>43</v>
      </c>
      <c r="L168" s="38">
        <v>54</v>
      </c>
      <c r="M168" s="22" t="s">
        <v>306</v>
      </c>
      <c r="N168" s="23" t="s">
        <v>3947</v>
      </c>
      <c r="V168" s="59"/>
      <c r="X168" s="42" t="s">
        <v>3304</v>
      </c>
      <c r="Y168" s="42" t="s">
        <v>567</v>
      </c>
      <c r="AK168" s="67"/>
    </row>
    <row r="169" spans="1:102">
      <c r="A169" s="335">
        <v>162</v>
      </c>
      <c r="B169" s="39" t="str">
        <f t="shared" si="44"/>
        <v>α lyr</v>
      </c>
      <c r="C169" s="39" t="str">
        <f t="shared" si="45"/>
        <v>μ 57</v>
      </c>
      <c r="F169" s="25" t="s">
        <v>1940</v>
      </c>
      <c r="G169" s="38">
        <v>21</v>
      </c>
      <c r="H169" s="38">
        <v>53</v>
      </c>
      <c r="I169" s="38">
        <v>24</v>
      </c>
      <c r="J169" s="38">
        <v>47</v>
      </c>
      <c r="K169" s="38">
        <v>16</v>
      </c>
      <c r="L169" s="38">
        <v>0</v>
      </c>
      <c r="M169" s="22" t="s">
        <v>307</v>
      </c>
      <c r="N169" s="23" t="s">
        <v>308</v>
      </c>
      <c r="V169" s="59"/>
      <c r="X169" s="42" t="s">
        <v>3305</v>
      </c>
      <c r="Y169" s="42" t="s">
        <v>567</v>
      </c>
      <c r="AK169" s="67"/>
    </row>
    <row r="170" spans="1:102">
      <c r="A170" s="335">
        <v>163</v>
      </c>
      <c r="B170" s="39" t="str">
        <f t="shared" si="44"/>
        <v>α lyr</v>
      </c>
      <c r="C170" s="39" t="str">
        <f t="shared" si="45"/>
        <v>μ 57</v>
      </c>
      <c r="F170" s="25" t="s">
        <v>1941</v>
      </c>
      <c r="G170" s="38">
        <v>22</v>
      </c>
      <c r="H170" s="38">
        <v>58</v>
      </c>
      <c r="I170" s="38">
        <v>1.8</v>
      </c>
      <c r="J170" s="38">
        <v>-33</v>
      </c>
      <c r="K170" s="38">
        <v>-43</v>
      </c>
      <c r="L170" s="38">
        <v>-32</v>
      </c>
      <c r="M170" s="22" t="s">
        <v>309</v>
      </c>
      <c r="N170" s="23" t="s">
        <v>310</v>
      </c>
      <c r="V170" s="59"/>
      <c r="X170" s="42" t="s">
        <v>3306</v>
      </c>
      <c r="Y170" s="42" t="s">
        <v>567</v>
      </c>
      <c r="AK170" s="67"/>
    </row>
    <row r="171" spans="1:102">
      <c r="A171" s="335">
        <v>164</v>
      </c>
      <c r="B171" s="39" t="str">
        <f t="shared" si="44"/>
        <v>α lyr</v>
      </c>
      <c r="C171" s="39" t="str">
        <f t="shared" si="45"/>
        <v>μ 57</v>
      </c>
      <c r="F171" s="27" t="s">
        <v>1942</v>
      </c>
      <c r="G171" s="26"/>
      <c r="H171" s="26"/>
      <c r="I171" s="26"/>
      <c r="J171" s="26"/>
      <c r="K171" s="26"/>
      <c r="L171" s="26"/>
      <c r="M171" s="26" t="s">
        <v>311</v>
      </c>
      <c r="N171" s="26" t="s">
        <v>312</v>
      </c>
      <c r="V171" s="59"/>
      <c r="X171" s="42" t="s">
        <v>3307</v>
      </c>
      <c r="Y171" s="42" t="s">
        <v>567</v>
      </c>
      <c r="AK171" s="67"/>
    </row>
    <row r="172" spans="1:102">
      <c r="A172" s="335">
        <v>165</v>
      </c>
      <c r="B172" s="39" t="str">
        <f t="shared" si="44"/>
        <v>α lyr</v>
      </c>
      <c r="C172" s="39" t="str">
        <f t="shared" si="45"/>
        <v>μ 57</v>
      </c>
      <c r="F172" s="25" t="s">
        <v>1943</v>
      </c>
      <c r="G172" s="22">
        <v>10</v>
      </c>
      <c r="H172" s="22">
        <v>7</v>
      </c>
      <c r="I172" s="22">
        <v>56.3</v>
      </c>
      <c r="J172" s="22">
        <v>0</v>
      </c>
      <c r="K172" s="22">
        <v>-22</v>
      </c>
      <c r="L172" s="22">
        <v>-18</v>
      </c>
      <c r="M172" s="22" t="s">
        <v>313</v>
      </c>
      <c r="N172" s="23" t="s">
        <v>314</v>
      </c>
      <c r="V172" s="59"/>
      <c r="X172" s="42" t="s">
        <v>3308</v>
      </c>
      <c r="Y172" s="42" t="s">
        <v>567</v>
      </c>
      <c r="AK172" s="67"/>
    </row>
    <row r="173" spans="1:102">
      <c r="A173" s="335">
        <v>166</v>
      </c>
      <c r="B173" s="39" t="str">
        <f t="shared" si="44"/>
        <v>α lyr</v>
      </c>
      <c r="C173" s="39" t="str">
        <f t="shared" si="45"/>
        <v>μ 57</v>
      </c>
      <c r="F173" s="25" t="s">
        <v>1944</v>
      </c>
      <c r="G173" s="22">
        <v>10</v>
      </c>
      <c r="H173" s="22">
        <v>30</v>
      </c>
      <c r="I173" s="22">
        <v>17.5</v>
      </c>
      <c r="J173" s="22">
        <v>0</v>
      </c>
      <c r="K173" s="22">
        <v>-38</v>
      </c>
      <c r="L173" s="22">
        <v>-13</v>
      </c>
      <c r="M173" s="22" t="s">
        <v>315</v>
      </c>
      <c r="N173" s="23" t="s">
        <v>316</v>
      </c>
      <c r="V173" s="59"/>
      <c r="X173" s="42" t="s">
        <v>3309</v>
      </c>
      <c r="Y173" s="42" t="s">
        <v>567</v>
      </c>
      <c r="AK173" s="67"/>
    </row>
    <row r="174" spans="1:102">
      <c r="A174" s="335">
        <v>167</v>
      </c>
      <c r="B174" s="39" t="str">
        <f t="shared" si="44"/>
        <v>α lyr</v>
      </c>
      <c r="C174" s="39" t="str">
        <f t="shared" si="45"/>
        <v>μ 57</v>
      </c>
      <c r="F174" s="25" t="s">
        <v>1945</v>
      </c>
      <c r="G174" s="22">
        <v>9</v>
      </c>
      <c r="H174" s="22">
        <v>52</v>
      </c>
      <c r="I174" s="22">
        <v>30.4</v>
      </c>
      <c r="J174" s="22">
        <v>-8</v>
      </c>
      <c r="K174" s="22">
        <v>-6</v>
      </c>
      <c r="L174" s="22">
        <v>-18</v>
      </c>
      <c r="M174" s="22" t="s">
        <v>317</v>
      </c>
      <c r="N174" s="23" t="s">
        <v>318</v>
      </c>
      <c r="V174" s="59"/>
      <c r="X174" s="42" t="s">
        <v>3310</v>
      </c>
      <c r="Y174" s="42" t="s">
        <v>567</v>
      </c>
      <c r="AK174" s="67"/>
    </row>
    <row r="175" spans="1:102">
      <c r="A175" s="335">
        <v>168</v>
      </c>
      <c r="B175" s="39" t="str">
        <f t="shared" si="44"/>
        <v>α lyr</v>
      </c>
      <c r="C175" s="39" t="str">
        <f t="shared" si="45"/>
        <v>μ 57</v>
      </c>
      <c r="F175" s="27" t="s">
        <v>1946</v>
      </c>
      <c r="G175" s="26"/>
      <c r="H175" s="26"/>
      <c r="I175" s="26"/>
      <c r="J175" s="26"/>
      <c r="K175" s="26"/>
      <c r="L175" s="26"/>
      <c r="M175" s="26" t="s">
        <v>319</v>
      </c>
      <c r="N175" s="26" t="s">
        <v>320</v>
      </c>
      <c r="V175" s="59"/>
      <c r="X175" s="42" t="s">
        <v>3033</v>
      </c>
      <c r="Y175" s="42" t="s">
        <v>567</v>
      </c>
      <c r="AK175" s="67"/>
    </row>
    <row r="176" spans="1:102">
      <c r="A176" s="335">
        <v>169</v>
      </c>
      <c r="B176" s="39" t="str">
        <f t="shared" si="44"/>
        <v>α lyr</v>
      </c>
      <c r="C176" s="39" t="str">
        <f t="shared" si="45"/>
        <v>μ 57</v>
      </c>
      <c r="F176" s="25" t="s">
        <v>1947</v>
      </c>
      <c r="G176" s="22">
        <v>14</v>
      </c>
      <c r="H176" s="22">
        <v>50</v>
      </c>
      <c r="I176" s="22">
        <v>52.8</v>
      </c>
      <c r="J176" s="22">
        <v>-16</v>
      </c>
      <c r="K176" s="22">
        <v>-2</v>
      </c>
      <c r="L176" s="22">
        <v>-30</v>
      </c>
      <c r="M176" s="22" t="s">
        <v>321</v>
      </c>
      <c r="N176" s="22" t="s">
        <v>322</v>
      </c>
      <c r="V176" s="59"/>
      <c r="X176" s="42" t="s">
        <v>3311</v>
      </c>
      <c r="Y176" s="42" t="s">
        <v>123</v>
      </c>
      <c r="AK176" s="67"/>
    </row>
    <row r="177" spans="1:37">
      <c r="A177" s="335">
        <v>170</v>
      </c>
      <c r="B177" s="39" t="str">
        <f t="shared" si="44"/>
        <v>α lyr</v>
      </c>
      <c r="C177" s="39" t="str">
        <f t="shared" si="45"/>
        <v>μ 57</v>
      </c>
      <c r="F177" s="25" t="s">
        <v>1948</v>
      </c>
      <c r="G177" s="22">
        <v>15</v>
      </c>
      <c r="H177" s="22">
        <v>17</v>
      </c>
      <c r="I177" s="22">
        <v>0.4</v>
      </c>
      <c r="J177" s="22">
        <v>-9</v>
      </c>
      <c r="K177" s="22">
        <v>-22</v>
      </c>
      <c r="L177" s="22">
        <v>-58</v>
      </c>
      <c r="M177" s="22" t="s">
        <v>323</v>
      </c>
      <c r="N177" s="22" t="s">
        <v>324</v>
      </c>
      <c r="V177" s="59"/>
      <c r="X177" s="42" t="s">
        <v>3312</v>
      </c>
      <c r="Y177" s="42" t="s">
        <v>123</v>
      </c>
      <c r="AK177" s="67"/>
    </row>
    <row r="178" spans="1:37">
      <c r="A178" s="335">
        <v>171</v>
      </c>
      <c r="B178" s="39" t="str">
        <f t="shared" si="44"/>
        <v>α lyr</v>
      </c>
      <c r="C178" s="39" t="str">
        <f t="shared" si="45"/>
        <v>μ 57</v>
      </c>
      <c r="F178" s="25" t="s">
        <v>1949</v>
      </c>
      <c r="G178" s="22">
        <v>15</v>
      </c>
      <c r="H178" s="22">
        <v>35</v>
      </c>
      <c r="I178" s="22">
        <v>31.6</v>
      </c>
      <c r="J178" s="22">
        <v>-14</v>
      </c>
      <c r="K178" s="22">
        <v>-47</v>
      </c>
      <c r="L178" s="22">
        <v>-22</v>
      </c>
      <c r="M178" s="22" t="s">
        <v>325</v>
      </c>
      <c r="N178" s="22" t="s">
        <v>326</v>
      </c>
      <c r="V178" s="59"/>
      <c r="X178" s="42" t="s">
        <v>3313</v>
      </c>
      <c r="Y178" s="42" t="s">
        <v>123</v>
      </c>
      <c r="AK178" s="67"/>
    </row>
    <row r="179" spans="1:37">
      <c r="A179" s="335">
        <v>172</v>
      </c>
      <c r="B179" s="39" t="str">
        <f t="shared" si="44"/>
        <v>α lyr</v>
      </c>
      <c r="C179" s="39" t="str">
        <f t="shared" si="45"/>
        <v>μ 57</v>
      </c>
      <c r="F179" s="25" t="s">
        <v>1950</v>
      </c>
      <c r="G179" s="22">
        <v>15</v>
      </c>
      <c r="H179" s="22">
        <v>4</v>
      </c>
      <c r="I179" s="22">
        <v>4.2</v>
      </c>
      <c r="J179" s="22">
        <v>-25</v>
      </c>
      <c r="K179" s="22">
        <v>-16</v>
      </c>
      <c r="L179" s="22">
        <v>-55</v>
      </c>
      <c r="M179" s="22" t="s">
        <v>327</v>
      </c>
      <c r="N179" s="22" t="s">
        <v>328</v>
      </c>
      <c r="V179" s="59"/>
      <c r="X179" s="42" t="s">
        <v>3228</v>
      </c>
      <c r="Y179" s="42" t="s">
        <v>123</v>
      </c>
      <c r="AK179" s="67"/>
    </row>
    <row r="180" spans="1:37">
      <c r="A180" s="335">
        <v>173</v>
      </c>
      <c r="B180" s="39" t="str">
        <f t="shared" si="44"/>
        <v>α lyr</v>
      </c>
      <c r="C180" s="39" t="str">
        <f t="shared" si="45"/>
        <v>μ 57</v>
      </c>
      <c r="F180" s="27" t="s">
        <v>1951</v>
      </c>
      <c r="G180" s="26"/>
      <c r="H180" s="26"/>
      <c r="I180" s="26"/>
      <c r="J180" s="26"/>
      <c r="K180" s="26"/>
      <c r="L180" s="26"/>
      <c r="M180" s="26" t="s">
        <v>329</v>
      </c>
      <c r="N180" s="26" t="s">
        <v>330</v>
      </c>
      <c r="V180" s="59"/>
      <c r="X180" s="42" t="s">
        <v>3314</v>
      </c>
      <c r="Y180" s="42" t="s">
        <v>583</v>
      </c>
      <c r="AK180" s="67"/>
    </row>
    <row r="181" spans="1:37">
      <c r="A181" s="335">
        <v>174</v>
      </c>
      <c r="B181" s="39" t="str">
        <f t="shared" si="44"/>
        <v>α lyr</v>
      </c>
      <c r="C181" s="39" t="str">
        <f t="shared" si="45"/>
        <v>μ 57</v>
      </c>
      <c r="F181" s="25" t="s">
        <v>1952</v>
      </c>
      <c r="G181" s="22">
        <v>5</v>
      </c>
      <c r="H181" s="22">
        <v>16</v>
      </c>
      <c r="I181" s="22">
        <v>41.4</v>
      </c>
      <c r="J181" s="22">
        <v>45</v>
      </c>
      <c r="K181" s="22">
        <v>59</v>
      </c>
      <c r="L181" s="22">
        <v>53</v>
      </c>
      <c r="M181" s="22" t="s">
        <v>331</v>
      </c>
      <c r="N181" s="22" t="s">
        <v>332</v>
      </c>
      <c r="V181" s="59"/>
      <c r="X181" s="42" t="s">
        <v>3315</v>
      </c>
      <c r="Y181" s="42" t="s">
        <v>583</v>
      </c>
      <c r="AK181" s="67"/>
    </row>
    <row r="182" spans="1:37">
      <c r="A182" s="335">
        <v>175</v>
      </c>
      <c r="B182" s="39" t="str">
        <f t="shared" si="44"/>
        <v>α lyr</v>
      </c>
      <c r="C182" s="39" t="str">
        <f t="shared" si="45"/>
        <v>μ 57</v>
      </c>
      <c r="F182" s="25" t="s">
        <v>1953</v>
      </c>
      <c r="G182" s="22">
        <v>5</v>
      </c>
      <c r="H182" s="22">
        <v>59</v>
      </c>
      <c r="I182" s="22">
        <v>31.7</v>
      </c>
      <c r="J182" s="22">
        <v>44</v>
      </c>
      <c r="K182" s="22">
        <v>56</v>
      </c>
      <c r="L182" s="22">
        <v>51</v>
      </c>
      <c r="M182" s="22" t="s">
        <v>333</v>
      </c>
      <c r="N182" s="22" t="s">
        <v>334</v>
      </c>
      <c r="V182" s="59"/>
      <c r="X182" s="42" t="s">
        <v>3316</v>
      </c>
      <c r="Y182" s="42" t="s">
        <v>583</v>
      </c>
      <c r="AK182" s="67"/>
    </row>
    <row r="183" spans="1:37">
      <c r="A183" s="335">
        <v>176</v>
      </c>
      <c r="B183" s="39" t="str">
        <f t="shared" si="44"/>
        <v>α lyr</v>
      </c>
      <c r="C183" s="39" t="str">
        <f t="shared" si="45"/>
        <v>μ 57</v>
      </c>
      <c r="F183" s="25" t="s">
        <v>1954</v>
      </c>
      <c r="G183" s="22">
        <v>5</v>
      </c>
      <c r="H183" s="22">
        <v>59</v>
      </c>
      <c r="I183" s="22">
        <v>43.3</v>
      </c>
      <c r="J183" s="22">
        <v>37</v>
      </c>
      <c r="K183" s="22">
        <v>12</v>
      </c>
      <c r="L183" s="22">
        <v>45</v>
      </c>
      <c r="M183" s="22" t="s">
        <v>335</v>
      </c>
      <c r="N183" s="22" t="s">
        <v>336</v>
      </c>
      <c r="V183" s="59"/>
      <c r="X183" s="42" t="s">
        <v>3317</v>
      </c>
      <c r="Y183" s="42" t="s">
        <v>583</v>
      </c>
      <c r="AK183" s="67"/>
    </row>
    <row r="184" spans="1:37">
      <c r="A184" s="335">
        <v>177</v>
      </c>
      <c r="B184" s="39" t="str">
        <f t="shared" si="44"/>
        <v>α lyr</v>
      </c>
      <c r="C184" s="39" t="str">
        <f t="shared" si="45"/>
        <v>μ 57</v>
      </c>
      <c r="F184" s="25" t="s">
        <v>1955</v>
      </c>
      <c r="G184" s="22">
        <v>4</v>
      </c>
      <c r="H184" s="22">
        <v>56</v>
      </c>
      <c r="I184" s="22">
        <v>59.6</v>
      </c>
      <c r="J184" s="22">
        <v>33</v>
      </c>
      <c r="K184" s="22">
        <v>9</v>
      </c>
      <c r="L184" s="22">
        <v>58</v>
      </c>
      <c r="M184" s="22" t="s">
        <v>337</v>
      </c>
      <c r="N184" s="22" t="s">
        <v>338</v>
      </c>
      <c r="V184" s="59"/>
      <c r="X184" s="42" t="s">
        <v>3318</v>
      </c>
      <c r="Y184" s="42" t="s">
        <v>583</v>
      </c>
      <c r="AK184" s="67"/>
    </row>
    <row r="185" spans="1:37">
      <c r="A185" s="335">
        <v>178</v>
      </c>
      <c r="B185" s="39" t="str">
        <f t="shared" si="44"/>
        <v>α lyr</v>
      </c>
      <c r="C185" s="39" t="str">
        <f t="shared" si="45"/>
        <v>μ 57</v>
      </c>
      <c r="F185" s="27" t="s">
        <v>1956</v>
      </c>
      <c r="G185" s="26"/>
      <c r="H185" s="26"/>
      <c r="I185" s="26"/>
      <c r="J185" s="26"/>
      <c r="K185" s="26"/>
      <c r="L185" s="26"/>
      <c r="M185" s="26" t="s">
        <v>339</v>
      </c>
      <c r="N185" s="26" t="s">
        <v>340</v>
      </c>
      <c r="V185" s="59"/>
      <c r="X185" s="42" t="s">
        <v>3319</v>
      </c>
      <c r="Y185" s="42" t="s">
        <v>583</v>
      </c>
      <c r="AK185" s="67"/>
    </row>
    <row r="186" spans="1:37">
      <c r="A186" s="335">
        <v>179</v>
      </c>
      <c r="B186" s="39" t="str">
        <f t="shared" si="44"/>
        <v>α lyr</v>
      </c>
      <c r="C186" s="39" t="str">
        <f t="shared" si="45"/>
        <v>μ 57</v>
      </c>
      <c r="F186" s="25" t="s">
        <v>1957</v>
      </c>
      <c r="G186" s="22">
        <v>18</v>
      </c>
      <c r="H186" s="22">
        <v>1</v>
      </c>
      <c r="I186" s="22">
        <v>30.4</v>
      </c>
      <c r="J186" s="22">
        <v>21</v>
      </c>
      <c r="K186" s="22">
        <v>35</v>
      </c>
      <c r="L186" s="22">
        <v>45</v>
      </c>
      <c r="M186" s="22" t="s">
        <v>341</v>
      </c>
      <c r="N186" s="23" t="s">
        <v>342</v>
      </c>
      <c r="V186" s="59"/>
      <c r="X186" s="42" t="s">
        <v>3320</v>
      </c>
      <c r="Y186" s="42" t="s">
        <v>583</v>
      </c>
      <c r="AK186" s="67"/>
    </row>
    <row r="187" spans="1:37">
      <c r="A187" s="335">
        <v>180</v>
      </c>
      <c r="B187" s="39" t="str">
        <f t="shared" si="44"/>
        <v>α lyr</v>
      </c>
      <c r="C187" s="39" t="str">
        <f t="shared" si="45"/>
        <v>μ 57</v>
      </c>
      <c r="F187" s="25" t="s">
        <v>1958</v>
      </c>
      <c r="G187" s="22">
        <v>17</v>
      </c>
      <c r="H187" s="22">
        <v>14</v>
      </c>
      <c r="I187" s="22">
        <v>38.9</v>
      </c>
      <c r="J187" s="22">
        <v>14</v>
      </c>
      <c r="K187" s="22">
        <v>23</v>
      </c>
      <c r="L187" s="22">
        <v>25</v>
      </c>
      <c r="M187" s="22" t="s">
        <v>343</v>
      </c>
      <c r="N187" s="23" t="s">
        <v>344</v>
      </c>
      <c r="V187" s="59"/>
      <c r="X187" s="42" t="s">
        <v>3037</v>
      </c>
      <c r="Y187" s="42" t="s">
        <v>583</v>
      </c>
      <c r="AK187" s="67"/>
    </row>
    <row r="188" spans="1:37">
      <c r="A188" s="335">
        <v>181</v>
      </c>
      <c r="B188" s="39" t="str">
        <f t="shared" si="44"/>
        <v>α lyr</v>
      </c>
      <c r="C188" s="39" t="str">
        <f t="shared" si="45"/>
        <v>μ 57</v>
      </c>
      <c r="F188" s="25" t="s">
        <v>1959</v>
      </c>
      <c r="G188" s="22">
        <v>16</v>
      </c>
      <c r="H188" s="22">
        <v>30</v>
      </c>
      <c r="I188" s="22">
        <v>13.2</v>
      </c>
      <c r="J188" s="22">
        <v>21</v>
      </c>
      <c r="K188" s="22">
        <v>29</v>
      </c>
      <c r="L188" s="22">
        <v>23</v>
      </c>
      <c r="M188" s="22" t="s">
        <v>3820</v>
      </c>
      <c r="N188" s="23" t="s">
        <v>345</v>
      </c>
      <c r="V188" s="59"/>
      <c r="X188" s="42" t="s">
        <v>3321</v>
      </c>
      <c r="Y188" s="42" t="s">
        <v>727</v>
      </c>
      <c r="AK188" s="67"/>
    </row>
    <row r="189" spans="1:37">
      <c r="A189" s="335">
        <v>182</v>
      </c>
      <c r="B189" s="39" t="str">
        <f t="shared" si="44"/>
        <v>α lyr</v>
      </c>
      <c r="C189" s="39" t="str">
        <f t="shared" si="45"/>
        <v>μ 57</v>
      </c>
      <c r="F189" s="25" t="s">
        <v>1960</v>
      </c>
      <c r="G189" s="22">
        <v>16</v>
      </c>
      <c r="H189" s="22">
        <v>21</v>
      </c>
      <c r="I189" s="22">
        <v>55.2</v>
      </c>
      <c r="J189" s="22">
        <v>19</v>
      </c>
      <c r="K189" s="22">
        <v>9</v>
      </c>
      <c r="L189" s="22">
        <v>11</v>
      </c>
      <c r="M189" s="22" t="s">
        <v>346</v>
      </c>
      <c r="N189" s="23" t="s">
        <v>347</v>
      </c>
      <c r="V189" s="59"/>
      <c r="X189" s="42" t="s">
        <v>3322</v>
      </c>
      <c r="Y189" s="42" t="s">
        <v>727</v>
      </c>
      <c r="AK189" s="67"/>
    </row>
    <row r="190" spans="1:37">
      <c r="A190" s="335">
        <v>183</v>
      </c>
      <c r="B190" s="39" t="str">
        <f t="shared" si="44"/>
        <v>α lyr</v>
      </c>
      <c r="C190" s="39" t="str">
        <f t="shared" si="45"/>
        <v>μ 57</v>
      </c>
      <c r="F190" s="25" t="s">
        <v>1961</v>
      </c>
      <c r="G190" s="22">
        <v>17</v>
      </c>
      <c r="H190" s="22">
        <v>15</v>
      </c>
      <c r="I190" s="22">
        <v>1.9</v>
      </c>
      <c r="J190" s="22">
        <v>24</v>
      </c>
      <c r="K190" s="22">
        <v>50</v>
      </c>
      <c r="L190" s="22">
        <v>21</v>
      </c>
      <c r="M190" s="22" t="s">
        <v>348</v>
      </c>
      <c r="N190" s="23" t="s">
        <v>349</v>
      </c>
      <c r="V190" s="59"/>
      <c r="X190" s="42" t="s">
        <v>3323</v>
      </c>
      <c r="Y190" s="42" t="s">
        <v>727</v>
      </c>
      <c r="AK190" s="67"/>
    </row>
    <row r="191" spans="1:37">
      <c r="A191" s="335">
        <v>184</v>
      </c>
      <c r="B191" s="39" t="str">
        <f t="shared" si="44"/>
        <v>α lyr</v>
      </c>
      <c r="C191" s="39" t="str">
        <f t="shared" si="45"/>
        <v>μ 57</v>
      </c>
      <c r="F191" s="25" t="s">
        <v>1962</v>
      </c>
      <c r="G191" s="22">
        <v>17</v>
      </c>
      <c r="H191" s="22">
        <v>0</v>
      </c>
      <c r="I191" s="22">
        <v>17.399999999999999</v>
      </c>
      <c r="J191" s="22">
        <v>30</v>
      </c>
      <c r="K191" s="22">
        <v>55</v>
      </c>
      <c r="L191" s="22">
        <v>35</v>
      </c>
      <c r="M191" s="22" t="s">
        <v>350</v>
      </c>
      <c r="N191" s="23" t="s">
        <v>351</v>
      </c>
      <c r="V191" s="59"/>
      <c r="X191" s="42" t="s">
        <v>3136</v>
      </c>
      <c r="Y191" s="42" t="s">
        <v>727</v>
      </c>
      <c r="AK191" s="67"/>
    </row>
    <row r="192" spans="1:37">
      <c r="A192" s="335">
        <v>185</v>
      </c>
      <c r="B192" s="39" t="str">
        <f t="shared" si="44"/>
        <v>α lyr</v>
      </c>
      <c r="C192" s="39" t="str">
        <f t="shared" si="45"/>
        <v>μ 57</v>
      </c>
      <c r="F192" s="25" t="s">
        <v>1963</v>
      </c>
      <c r="G192" s="22">
        <v>16</v>
      </c>
      <c r="H192" s="22">
        <v>41</v>
      </c>
      <c r="I192" s="22">
        <v>17.2</v>
      </c>
      <c r="J192" s="22">
        <v>31</v>
      </c>
      <c r="K192" s="22">
        <v>36</v>
      </c>
      <c r="L192" s="22">
        <v>10</v>
      </c>
      <c r="M192" s="22" t="s">
        <v>352</v>
      </c>
      <c r="N192" s="23" t="s">
        <v>353</v>
      </c>
      <c r="V192" s="59"/>
      <c r="X192" s="42" t="s">
        <v>3324</v>
      </c>
      <c r="Y192" s="42" t="s">
        <v>583</v>
      </c>
      <c r="AK192" s="67"/>
    </row>
    <row r="193" spans="1:37">
      <c r="A193" s="335">
        <v>186</v>
      </c>
      <c r="B193" s="39" t="str">
        <f t="shared" si="44"/>
        <v>α lyr</v>
      </c>
      <c r="C193" s="39" t="str">
        <f t="shared" si="45"/>
        <v>μ 57</v>
      </c>
      <c r="F193" s="25" t="s">
        <v>1964</v>
      </c>
      <c r="G193" s="22">
        <v>16</v>
      </c>
      <c r="H193" s="22">
        <v>42</v>
      </c>
      <c r="I193" s="22">
        <v>53.8</v>
      </c>
      <c r="J193" s="22">
        <v>38</v>
      </c>
      <c r="K193" s="22">
        <v>55</v>
      </c>
      <c r="L193" s="22">
        <v>20</v>
      </c>
      <c r="M193" s="22" t="s">
        <v>354</v>
      </c>
      <c r="N193" s="23" t="s">
        <v>355</v>
      </c>
      <c r="V193" s="59"/>
      <c r="X193" s="42" t="s">
        <v>3325</v>
      </c>
      <c r="Y193" s="42" t="s">
        <v>583</v>
      </c>
      <c r="AK193" s="67"/>
    </row>
    <row r="194" spans="1:37">
      <c r="A194" s="335">
        <v>187</v>
      </c>
      <c r="B194" s="39" t="str">
        <f t="shared" si="44"/>
        <v>α lyr</v>
      </c>
      <c r="C194" s="39" t="str">
        <f t="shared" si="45"/>
        <v>μ 57</v>
      </c>
      <c r="F194" s="25" t="s">
        <v>1965</v>
      </c>
      <c r="G194" s="22">
        <v>17</v>
      </c>
      <c r="H194" s="22">
        <v>56</v>
      </c>
      <c r="I194" s="22">
        <v>15.2</v>
      </c>
      <c r="J194" s="22">
        <v>37</v>
      </c>
      <c r="K194" s="22">
        <v>15</v>
      </c>
      <c r="L194" s="22">
        <v>2</v>
      </c>
      <c r="M194" s="22" t="s">
        <v>356</v>
      </c>
      <c r="N194" s="23" t="s">
        <v>357</v>
      </c>
      <c r="V194" s="59"/>
      <c r="X194" s="42" t="s">
        <v>3326</v>
      </c>
      <c r="Y194" s="42" t="s">
        <v>583</v>
      </c>
      <c r="AK194" s="67"/>
    </row>
    <row r="195" spans="1:37">
      <c r="A195" s="335">
        <v>188</v>
      </c>
      <c r="B195" s="39" t="str">
        <f t="shared" si="44"/>
        <v>α lyr</v>
      </c>
      <c r="C195" s="39" t="str">
        <f t="shared" si="45"/>
        <v>μ 57</v>
      </c>
      <c r="F195" s="25" t="s">
        <v>1966</v>
      </c>
      <c r="G195" s="22">
        <v>17</v>
      </c>
      <c r="H195" s="22">
        <v>39</v>
      </c>
      <c r="I195" s="22">
        <v>27.9</v>
      </c>
      <c r="J195" s="22">
        <v>46</v>
      </c>
      <c r="K195" s="22">
        <v>0</v>
      </c>
      <c r="L195" s="22">
        <v>23</v>
      </c>
      <c r="M195" s="22" t="s">
        <v>358</v>
      </c>
      <c r="N195" s="23" t="s">
        <v>359</v>
      </c>
      <c r="V195" s="59"/>
      <c r="X195" s="42" t="s">
        <v>3327</v>
      </c>
      <c r="Y195" s="42" t="s">
        <v>583</v>
      </c>
      <c r="AK195" s="67"/>
    </row>
    <row r="196" spans="1:37">
      <c r="A196" s="335">
        <v>189</v>
      </c>
      <c r="B196" s="39" t="str">
        <f t="shared" si="44"/>
        <v>α lyr</v>
      </c>
      <c r="C196" s="39" t="str">
        <f t="shared" si="45"/>
        <v>μ 57</v>
      </c>
      <c r="F196" s="25" t="s">
        <v>1967</v>
      </c>
      <c r="G196" s="22">
        <v>16</v>
      </c>
      <c r="H196" s="22">
        <v>8</v>
      </c>
      <c r="I196" s="22">
        <v>4.5999999999999996</v>
      </c>
      <c r="J196" s="22">
        <v>17</v>
      </c>
      <c r="K196" s="22">
        <v>2</v>
      </c>
      <c r="L196" s="22">
        <v>49</v>
      </c>
      <c r="M196" s="22" t="s">
        <v>360</v>
      </c>
      <c r="N196" s="23" t="s">
        <v>361</v>
      </c>
      <c r="V196" s="59"/>
      <c r="X196" s="42" t="s">
        <v>3328</v>
      </c>
      <c r="Y196" s="42" t="s">
        <v>3155</v>
      </c>
      <c r="AK196" s="67"/>
    </row>
    <row r="197" spans="1:37">
      <c r="A197" s="335">
        <v>190</v>
      </c>
      <c r="B197" s="39" t="str">
        <f t="shared" si="44"/>
        <v>α lyr</v>
      </c>
      <c r="C197" s="39" t="str">
        <f t="shared" si="45"/>
        <v>μ 57</v>
      </c>
      <c r="F197" s="25" t="s">
        <v>1968</v>
      </c>
      <c r="G197" s="22">
        <v>17</v>
      </c>
      <c r="H197" s="22">
        <v>30</v>
      </c>
      <c r="I197" s="22">
        <v>44.3</v>
      </c>
      <c r="J197" s="22">
        <v>26</v>
      </c>
      <c r="K197" s="22">
        <v>6</v>
      </c>
      <c r="L197" s="22">
        <v>38</v>
      </c>
      <c r="M197" s="22" t="s">
        <v>362</v>
      </c>
      <c r="N197" s="23" t="s">
        <v>363</v>
      </c>
      <c r="V197" s="59"/>
      <c r="X197" s="42" t="s">
        <v>3329</v>
      </c>
      <c r="Y197" s="42" t="s">
        <v>3155</v>
      </c>
      <c r="AK197" s="67"/>
    </row>
    <row r="198" spans="1:37">
      <c r="A198" s="335">
        <v>191</v>
      </c>
      <c r="B198" s="39" t="str">
        <f t="shared" ref="B198:B261" si="46">IF(B197=F198,A198,B197)</f>
        <v>α lyr</v>
      </c>
      <c r="C198" s="39" t="str">
        <f t="shared" ref="C198:C261" si="47" xml:space="preserve"> IF(C197=F198,A198,C197)</f>
        <v>μ 57</v>
      </c>
      <c r="F198" s="25" t="s">
        <v>1969</v>
      </c>
      <c r="G198" s="22">
        <v>17</v>
      </c>
      <c r="H198" s="22">
        <v>46</v>
      </c>
      <c r="I198" s="22">
        <v>27.5</v>
      </c>
      <c r="J198" s="22">
        <v>27</v>
      </c>
      <c r="K198" s="22">
        <v>43</v>
      </c>
      <c r="L198" s="22">
        <v>14</v>
      </c>
      <c r="M198" s="22" t="s">
        <v>364</v>
      </c>
      <c r="N198" s="23" t="s">
        <v>365</v>
      </c>
      <c r="V198" s="59"/>
      <c r="X198" s="42" t="s">
        <v>3330</v>
      </c>
      <c r="Y198" s="42" t="s">
        <v>3155</v>
      </c>
      <c r="AK198" s="67"/>
    </row>
    <row r="199" spans="1:37">
      <c r="A199" s="335">
        <v>192</v>
      </c>
      <c r="B199" s="39" t="str">
        <f t="shared" si="46"/>
        <v>α lyr</v>
      </c>
      <c r="C199" s="39" t="str">
        <f t="shared" si="47"/>
        <v>μ 57</v>
      </c>
      <c r="F199" s="41" t="s">
        <v>3948</v>
      </c>
      <c r="G199" s="22">
        <v>17</v>
      </c>
      <c r="H199" s="22">
        <v>58</v>
      </c>
      <c r="I199" s="22">
        <v>30.15</v>
      </c>
      <c r="J199" s="22">
        <v>30</v>
      </c>
      <c r="K199" s="22">
        <v>11</v>
      </c>
      <c r="L199" s="22">
        <v>21</v>
      </c>
      <c r="M199" s="22" t="s">
        <v>3821</v>
      </c>
      <c r="N199" s="23" t="s">
        <v>3949</v>
      </c>
      <c r="V199" s="59"/>
      <c r="X199" s="42" t="s">
        <v>3156</v>
      </c>
      <c r="Y199" s="42" t="s">
        <v>3155</v>
      </c>
      <c r="AK199" s="67"/>
    </row>
    <row r="200" spans="1:37">
      <c r="A200" s="335">
        <v>193</v>
      </c>
      <c r="B200" s="39" t="str">
        <f t="shared" si="46"/>
        <v>α lyr</v>
      </c>
      <c r="C200" s="39" t="str">
        <f t="shared" si="47"/>
        <v>μ 57</v>
      </c>
      <c r="F200" s="25" t="s">
        <v>1970</v>
      </c>
      <c r="G200" s="22">
        <v>17</v>
      </c>
      <c r="H200" s="22">
        <v>57</v>
      </c>
      <c r="I200" s="22">
        <v>45.9</v>
      </c>
      <c r="J200" s="22">
        <v>29</v>
      </c>
      <c r="K200" s="22">
        <v>14</v>
      </c>
      <c r="L200" s="22">
        <v>52</v>
      </c>
      <c r="M200" s="22" t="s">
        <v>366</v>
      </c>
      <c r="N200" s="23" t="s">
        <v>367</v>
      </c>
      <c r="V200" s="59"/>
      <c r="X200" s="42" t="s">
        <v>3331</v>
      </c>
      <c r="Y200" s="42" t="s">
        <v>976</v>
      </c>
      <c r="AK200" s="67"/>
    </row>
    <row r="201" spans="1:37">
      <c r="A201" s="335">
        <v>194</v>
      </c>
      <c r="B201" s="39" t="str">
        <f t="shared" si="46"/>
        <v>α lyr</v>
      </c>
      <c r="C201" s="39" t="str">
        <f t="shared" si="47"/>
        <v>μ 57</v>
      </c>
      <c r="F201" s="25" t="s">
        <v>1971</v>
      </c>
      <c r="G201" s="22">
        <v>18</v>
      </c>
      <c r="H201" s="22">
        <v>7</v>
      </c>
      <c r="I201" s="22">
        <v>32.6</v>
      </c>
      <c r="J201" s="22">
        <v>28</v>
      </c>
      <c r="K201" s="22">
        <v>45</v>
      </c>
      <c r="L201" s="22">
        <v>45</v>
      </c>
      <c r="M201" s="22" t="s">
        <v>368</v>
      </c>
      <c r="N201" s="23" t="s">
        <v>369</v>
      </c>
      <c r="V201" s="59"/>
      <c r="X201" s="42" t="s">
        <v>3332</v>
      </c>
      <c r="Y201" s="42" t="s">
        <v>976</v>
      </c>
      <c r="AK201" s="67"/>
    </row>
    <row r="202" spans="1:37">
      <c r="A202" s="335">
        <v>195</v>
      </c>
      <c r="B202" s="39" t="str">
        <f t="shared" si="46"/>
        <v>α lyr</v>
      </c>
      <c r="C202" s="39" t="str">
        <f t="shared" si="47"/>
        <v>μ 57</v>
      </c>
      <c r="F202" s="25" t="s">
        <v>1972</v>
      </c>
      <c r="G202" s="22">
        <v>17</v>
      </c>
      <c r="H202" s="22">
        <v>15</v>
      </c>
      <c r="I202" s="22">
        <v>2.9</v>
      </c>
      <c r="J202" s="22">
        <v>36</v>
      </c>
      <c r="K202" s="22">
        <v>48</v>
      </c>
      <c r="L202" s="22">
        <v>33</v>
      </c>
      <c r="M202" s="22" t="s">
        <v>370</v>
      </c>
      <c r="N202" s="23" t="s">
        <v>371</v>
      </c>
      <c r="V202" s="59"/>
      <c r="X202" s="42" t="s">
        <v>3333</v>
      </c>
      <c r="Y202" s="42" t="s">
        <v>976</v>
      </c>
      <c r="AK202" s="67"/>
    </row>
    <row r="203" spans="1:37">
      <c r="A203" s="335">
        <v>196</v>
      </c>
      <c r="B203" s="39" t="str">
        <f t="shared" si="46"/>
        <v>α lyr</v>
      </c>
      <c r="C203" s="39" t="str">
        <f t="shared" si="47"/>
        <v>μ 57</v>
      </c>
      <c r="F203" s="25" t="s">
        <v>1973</v>
      </c>
      <c r="G203" s="42">
        <v>17</v>
      </c>
      <c r="H203" s="42">
        <v>23</v>
      </c>
      <c r="I203" s="42">
        <v>40.9</v>
      </c>
      <c r="J203" s="42">
        <v>37</v>
      </c>
      <c r="K203" s="42">
        <v>8</v>
      </c>
      <c r="L203" s="42">
        <v>45</v>
      </c>
      <c r="M203" s="22" t="s">
        <v>372</v>
      </c>
      <c r="N203" s="23" t="s">
        <v>373</v>
      </c>
      <c r="V203" s="59"/>
      <c r="X203" s="42" t="s">
        <v>3160</v>
      </c>
      <c r="Y203" s="42" t="s">
        <v>976</v>
      </c>
      <c r="AK203" s="67"/>
    </row>
    <row r="204" spans="1:37">
      <c r="A204" s="335">
        <v>197</v>
      </c>
      <c r="B204" s="39" t="str">
        <f t="shared" si="46"/>
        <v>α lyr</v>
      </c>
      <c r="C204" s="39" t="str">
        <f t="shared" si="47"/>
        <v>μ 57</v>
      </c>
      <c r="F204" s="25" t="s">
        <v>1974</v>
      </c>
      <c r="G204" s="22">
        <v>16</v>
      </c>
      <c r="H204" s="22">
        <v>34</v>
      </c>
      <c r="I204" s="22">
        <v>6.2</v>
      </c>
      <c r="J204" s="22">
        <v>42</v>
      </c>
      <c r="K204" s="22">
        <v>26</v>
      </c>
      <c r="L204" s="22">
        <v>13</v>
      </c>
      <c r="M204" s="22" t="s">
        <v>374</v>
      </c>
      <c r="N204" s="23" t="s">
        <v>375</v>
      </c>
      <c r="V204" s="59"/>
      <c r="X204" s="42" t="s">
        <v>3334</v>
      </c>
      <c r="Y204" s="42" t="s">
        <v>455</v>
      </c>
      <c r="AK204" s="67"/>
    </row>
    <row r="205" spans="1:37">
      <c r="A205" s="335">
        <v>198</v>
      </c>
      <c r="B205" s="39" t="str">
        <f t="shared" si="46"/>
        <v>α lyr</v>
      </c>
      <c r="C205" s="39" t="str">
        <f t="shared" si="47"/>
        <v>μ 57</v>
      </c>
      <c r="F205" s="25" t="s">
        <v>1975</v>
      </c>
      <c r="G205" s="22">
        <v>16</v>
      </c>
      <c r="H205" s="22">
        <v>19</v>
      </c>
      <c r="I205" s="22">
        <v>44.4</v>
      </c>
      <c r="J205" s="22">
        <v>46</v>
      </c>
      <c r="K205" s="22">
        <v>18</v>
      </c>
      <c r="L205" s="22">
        <v>48</v>
      </c>
      <c r="M205" s="22" t="s">
        <v>376</v>
      </c>
      <c r="N205" s="23" t="s">
        <v>377</v>
      </c>
      <c r="V205" s="59"/>
      <c r="X205" s="42" t="s">
        <v>3335</v>
      </c>
      <c r="Y205" s="42" t="s">
        <v>455</v>
      </c>
      <c r="AK205" s="67"/>
    </row>
    <row r="206" spans="1:37">
      <c r="A206" s="335">
        <v>199</v>
      </c>
      <c r="B206" s="39" t="str">
        <f t="shared" si="46"/>
        <v>α lyr</v>
      </c>
      <c r="C206" s="39" t="str">
        <f t="shared" si="47"/>
        <v>μ 57</v>
      </c>
      <c r="F206" s="25" t="s">
        <v>1976</v>
      </c>
      <c r="G206" s="22">
        <v>16</v>
      </c>
      <c r="H206" s="22">
        <v>2</v>
      </c>
      <c r="I206" s="22">
        <v>47.9</v>
      </c>
      <c r="J206" s="22">
        <v>46</v>
      </c>
      <c r="K206" s="22">
        <v>2</v>
      </c>
      <c r="L206" s="22">
        <v>12</v>
      </c>
      <c r="M206" s="22" t="s">
        <v>378</v>
      </c>
      <c r="N206" s="23" t="s">
        <v>379</v>
      </c>
      <c r="V206" s="59"/>
      <c r="X206" s="42" t="s">
        <v>3336</v>
      </c>
      <c r="Y206" s="42" t="s">
        <v>455</v>
      </c>
      <c r="AK206" s="67"/>
    </row>
    <row r="207" spans="1:37">
      <c r="A207" s="335">
        <v>200</v>
      </c>
      <c r="B207" s="39" t="str">
        <f t="shared" si="46"/>
        <v>α lyr</v>
      </c>
      <c r="C207" s="39" t="str">
        <f t="shared" si="47"/>
        <v>μ 57</v>
      </c>
      <c r="F207" s="25" t="s">
        <v>1977</v>
      </c>
      <c r="G207" s="22">
        <v>16</v>
      </c>
      <c r="H207" s="22">
        <v>8</v>
      </c>
      <c r="I207" s="22">
        <v>46.2</v>
      </c>
      <c r="J207" s="22">
        <v>44</v>
      </c>
      <c r="K207" s="22">
        <v>56</v>
      </c>
      <c r="L207" s="22">
        <v>6</v>
      </c>
      <c r="M207" s="22" t="s">
        <v>380</v>
      </c>
      <c r="N207" s="23" t="s">
        <v>381</v>
      </c>
      <c r="V207" s="59"/>
      <c r="X207" s="42" t="s">
        <v>3187</v>
      </c>
      <c r="Y207" s="42" t="s">
        <v>455</v>
      </c>
      <c r="AK207" s="67"/>
    </row>
    <row r="208" spans="1:37">
      <c r="A208" s="335">
        <v>201</v>
      </c>
      <c r="B208" s="39" t="str">
        <f t="shared" si="46"/>
        <v>α lyr</v>
      </c>
      <c r="C208" s="39" t="str">
        <f t="shared" si="47"/>
        <v>μ 57</v>
      </c>
      <c r="F208" s="25" t="s">
        <v>1978</v>
      </c>
      <c r="G208" s="22">
        <v>15</v>
      </c>
      <c r="H208" s="22">
        <v>52</v>
      </c>
      <c r="I208" s="22">
        <v>40.5</v>
      </c>
      <c r="J208" s="22">
        <v>42</v>
      </c>
      <c r="K208" s="22">
        <v>27</v>
      </c>
      <c r="L208" s="22">
        <v>6</v>
      </c>
      <c r="M208" s="22" t="s">
        <v>382</v>
      </c>
      <c r="N208" s="23" t="s">
        <v>383</v>
      </c>
      <c r="V208" s="59"/>
      <c r="X208" s="42" t="s">
        <v>3337</v>
      </c>
      <c r="Y208" s="42" t="s">
        <v>1622</v>
      </c>
      <c r="AK208" s="67"/>
    </row>
    <row r="209" spans="1:37">
      <c r="A209" s="335">
        <v>202</v>
      </c>
      <c r="B209" s="39" t="str">
        <f t="shared" si="46"/>
        <v>α lyr</v>
      </c>
      <c r="C209" s="39" t="str">
        <f t="shared" si="47"/>
        <v>μ 57</v>
      </c>
      <c r="F209" s="27" t="s">
        <v>1979</v>
      </c>
      <c r="G209" s="26"/>
      <c r="H209" s="26"/>
      <c r="I209" s="26"/>
      <c r="J209" s="26"/>
      <c r="K209" s="26"/>
      <c r="L209" s="26"/>
      <c r="M209" s="26" t="s">
        <v>384</v>
      </c>
      <c r="N209" s="26" t="s">
        <v>385</v>
      </c>
      <c r="V209" s="59"/>
      <c r="X209" s="42" t="s">
        <v>3338</v>
      </c>
      <c r="Y209" s="42" t="s">
        <v>1622</v>
      </c>
      <c r="AK209" s="67"/>
    </row>
    <row r="210" spans="1:37">
      <c r="A210" s="335">
        <v>203</v>
      </c>
      <c r="B210" s="39" t="str">
        <f t="shared" si="46"/>
        <v>α lyr</v>
      </c>
      <c r="C210" s="39" t="str">
        <f t="shared" si="47"/>
        <v>μ 57</v>
      </c>
      <c r="F210" s="25" t="s">
        <v>1980</v>
      </c>
      <c r="G210" s="22">
        <v>5</v>
      </c>
      <c r="H210" s="22">
        <v>7</v>
      </c>
      <c r="I210" s="22">
        <v>51</v>
      </c>
      <c r="J210" s="22">
        <v>-5</v>
      </c>
      <c r="K210" s="22">
        <v>-5</v>
      </c>
      <c r="L210" s="22">
        <v>-11</v>
      </c>
      <c r="M210" s="22" t="s">
        <v>386</v>
      </c>
      <c r="N210" s="22" t="s">
        <v>387</v>
      </c>
      <c r="V210" s="59"/>
      <c r="X210" s="42" t="s">
        <v>3339</v>
      </c>
      <c r="Y210" s="42" t="s">
        <v>1622</v>
      </c>
      <c r="AK210" s="67"/>
    </row>
    <row r="211" spans="1:37">
      <c r="A211" s="335">
        <v>204</v>
      </c>
      <c r="B211" s="39" t="str">
        <f t="shared" si="46"/>
        <v>α lyr</v>
      </c>
      <c r="C211" s="39" t="str">
        <f t="shared" si="47"/>
        <v>μ 57</v>
      </c>
      <c r="F211" s="25" t="s">
        <v>1981</v>
      </c>
      <c r="G211" s="22">
        <v>3</v>
      </c>
      <c r="H211" s="22">
        <v>58</v>
      </c>
      <c r="I211" s="22">
        <v>1.8</v>
      </c>
      <c r="J211" s="22">
        <v>-13</v>
      </c>
      <c r="K211" s="22">
        <v>-30</v>
      </c>
      <c r="L211" s="22">
        <v>-31</v>
      </c>
      <c r="M211" s="22" t="s">
        <v>388</v>
      </c>
      <c r="N211" s="22" t="s">
        <v>389</v>
      </c>
      <c r="V211" s="59"/>
      <c r="X211" s="42" t="s">
        <v>3077</v>
      </c>
      <c r="Y211" s="42" t="s">
        <v>1622</v>
      </c>
      <c r="AK211" s="67"/>
    </row>
    <row r="212" spans="1:37">
      <c r="A212" s="335">
        <v>205</v>
      </c>
      <c r="B212" s="39" t="str">
        <f t="shared" si="46"/>
        <v>α lyr</v>
      </c>
      <c r="C212" s="39" t="str">
        <f t="shared" si="47"/>
        <v>μ 57</v>
      </c>
      <c r="F212" s="25" t="s">
        <v>1982</v>
      </c>
      <c r="G212" s="22">
        <v>3</v>
      </c>
      <c r="H212" s="22">
        <v>43</v>
      </c>
      <c r="I212" s="22">
        <v>14.9</v>
      </c>
      <c r="J212" s="22">
        <v>-9</v>
      </c>
      <c r="K212" s="22">
        <v>-45</v>
      </c>
      <c r="L212" s="22">
        <v>-48</v>
      </c>
      <c r="M212" s="22" t="s">
        <v>390</v>
      </c>
      <c r="N212" s="22" t="s">
        <v>391</v>
      </c>
      <c r="V212" s="59"/>
      <c r="X212" s="42" t="s">
        <v>3340</v>
      </c>
      <c r="Y212" s="42" t="s">
        <v>1424</v>
      </c>
      <c r="AK212" s="67"/>
    </row>
    <row r="213" spans="1:37">
      <c r="A213" s="335">
        <v>206</v>
      </c>
      <c r="B213" s="39" t="str">
        <f t="shared" si="46"/>
        <v>α lyr</v>
      </c>
      <c r="C213" s="39" t="str">
        <f t="shared" si="47"/>
        <v>μ 57</v>
      </c>
      <c r="F213" s="25" t="s">
        <v>1983</v>
      </c>
      <c r="G213" s="22">
        <v>3</v>
      </c>
      <c r="H213" s="22">
        <v>32</v>
      </c>
      <c r="I213" s="22">
        <v>55.8</v>
      </c>
      <c r="J213" s="22">
        <v>-9</v>
      </c>
      <c r="K213" s="22">
        <v>-27</v>
      </c>
      <c r="L213" s="22">
        <v>-30</v>
      </c>
      <c r="M213" s="22" t="s">
        <v>392</v>
      </c>
      <c r="N213" s="22" t="s">
        <v>393</v>
      </c>
      <c r="V213" s="59"/>
      <c r="X213" s="42" t="s">
        <v>3166</v>
      </c>
      <c r="Y213" s="42" t="s">
        <v>1424</v>
      </c>
      <c r="AK213" s="67"/>
    </row>
    <row r="214" spans="1:37">
      <c r="A214" s="335">
        <v>207</v>
      </c>
      <c r="B214" s="39" t="str">
        <f t="shared" si="46"/>
        <v>α lyr</v>
      </c>
      <c r="C214" s="39" t="str">
        <f t="shared" si="47"/>
        <v>μ 57</v>
      </c>
      <c r="F214" s="25" t="s">
        <v>1984</v>
      </c>
      <c r="G214" s="22">
        <v>3</v>
      </c>
      <c r="H214" s="22">
        <v>15</v>
      </c>
      <c r="I214" s="22">
        <v>50</v>
      </c>
      <c r="J214" s="22">
        <v>-8</v>
      </c>
      <c r="K214" s="22">
        <v>-49</v>
      </c>
      <c r="L214" s="22">
        <v>-11</v>
      </c>
      <c r="M214" s="22" t="s">
        <v>394</v>
      </c>
      <c r="N214" s="22" t="s">
        <v>395</v>
      </c>
      <c r="V214" s="59"/>
      <c r="X214" s="42" t="s">
        <v>3341</v>
      </c>
      <c r="Y214" s="42" t="s">
        <v>3210</v>
      </c>
      <c r="AK214" s="67"/>
    </row>
    <row r="215" spans="1:37">
      <c r="A215" s="335">
        <v>208</v>
      </c>
      <c r="B215" s="39" t="str">
        <f t="shared" si="46"/>
        <v>α lyr</v>
      </c>
      <c r="C215" s="39" t="str">
        <f t="shared" si="47"/>
        <v>μ 57</v>
      </c>
      <c r="F215" s="25" t="s">
        <v>1985</v>
      </c>
      <c r="G215" s="22">
        <v>2</v>
      </c>
      <c r="H215" s="22">
        <v>56</v>
      </c>
      <c r="I215" s="22">
        <v>25.6</v>
      </c>
      <c r="J215" s="22">
        <v>-8</v>
      </c>
      <c r="K215" s="22">
        <v>-53</v>
      </c>
      <c r="L215" s="22">
        <v>-53</v>
      </c>
      <c r="M215" s="22" t="s">
        <v>396</v>
      </c>
      <c r="N215" s="22" t="s">
        <v>397</v>
      </c>
      <c r="V215" s="59"/>
      <c r="X215" s="42" t="s">
        <v>3212</v>
      </c>
      <c r="Y215" s="42" t="s">
        <v>3210</v>
      </c>
      <c r="AK215" s="67"/>
    </row>
    <row r="216" spans="1:37">
      <c r="A216" s="335">
        <v>209</v>
      </c>
      <c r="B216" s="39" t="str">
        <f t="shared" si="46"/>
        <v>α lyr</v>
      </c>
      <c r="C216" s="39" t="str">
        <f t="shared" si="47"/>
        <v>μ 57</v>
      </c>
      <c r="F216" s="25" t="s">
        <v>1986</v>
      </c>
      <c r="G216" s="22">
        <v>4</v>
      </c>
      <c r="H216" s="22">
        <v>45</v>
      </c>
      <c r="I216" s="22">
        <v>30.1</v>
      </c>
      <c r="J216" s="22">
        <v>-3</v>
      </c>
      <c r="K216" s="22">
        <v>-15</v>
      </c>
      <c r="L216" s="22">
        <v>-17</v>
      </c>
      <c r="M216" s="22" t="s">
        <v>398</v>
      </c>
      <c r="N216" s="22" t="s">
        <v>399</v>
      </c>
      <c r="V216" s="59"/>
      <c r="X216" s="42" t="s">
        <v>3342</v>
      </c>
      <c r="Y216" s="42" t="s">
        <v>1454</v>
      </c>
      <c r="AK216" s="67"/>
    </row>
    <row r="217" spans="1:37">
      <c r="A217" s="335">
        <v>210</v>
      </c>
      <c r="B217" s="39" t="str">
        <f t="shared" si="46"/>
        <v>α lyr</v>
      </c>
      <c r="C217" s="39" t="str">
        <f t="shared" si="47"/>
        <v>μ 57</v>
      </c>
      <c r="F217" s="25" t="s">
        <v>1987</v>
      </c>
      <c r="G217" s="22">
        <v>4</v>
      </c>
      <c r="H217" s="22">
        <v>36</v>
      </c>
      <c r="I217" s="22">
        <v>19.100000000000001</v>
      </c>
      <c r="J217" s="22">
        <v>-3</v>
      </c>
      <c r="K217" s="22">
        <v>-21</v>
      </c>
      <c r="L217" s="22">
        <v>-9</v>
      </c>
      <c r="M217" s="22" t="s">
        <v>400</v>
      </c>
      <c r="N217" s="22" t="s">
        <v>401</v>
      </c>
      <c r="V217" s="59"/>
      <c r="X217" s="42" t="s">
        <v>3234</v>
      </c>
      <c r="Y217" s="42" t="s">
        <v>1454</v>
      </c>
      <c r="AK217" s="67"/>
    </row>
    <row r="218" spans="1:37">
      <c r="A218" s="335">
        <v>211</v>
      </c>
      <c r="B218" s="39" t="str">
        <f t="shared" si="46"/>
        <v>α lyr</v>
      </c>
      <c r="C218" s="39" t="str">
        <f t="shared" si="47"/>
        <v>μ 57</v>
      </c>
      <c r="F218" s="25" t="s">
        <v>1988</v>
      </c>
      <c r="G218" s="22">
        <v>4</v>
      </c>
      <c r="H218" s="22">
        <v>11</v>
      </c>
      <c r="I218" s="22">
        <v>51.9</v>
      </c>
      <c r="J218" s="22">
        <v>-6</v>
      </c>
      <c r="K218" s="22">
        <v>-50</v>
      </c>
      <c r="L218" s="22">
        <v>-15</v>
      </c>
      <c r="M218" s="22" t="s">
        <v>3769</v>
      </c>
      <c r="N218" s="22" t="s">
        <v>3770</v>
      </c>
      <c r="V218" s="59"/>
      <c r="X218" s="42" t="s">
        <v>3386</v>
      </c>
      <c r="Y218" s="42" t="s">
        <v>1544</v>
      </c>
      <c r="AK218" s="67"/>
    </row>
    <row r="219" spans="1:37">
      <c r="A219" s="335">
        <v>212</v>
      </c>
      <c r="B219" s="39" t="str">
        <f t="shared" si="46"/>
        <v>α lyr</v>
      </c>
      <c r="C219" s="39" t="str">
        <f t="shared" si="47"/>
        <v>μ 57</v>
      </c>
      <c r="F219" s="25" t="s">
        <v>1989</v>
      </c>
      <c r="G219" s="22">
        <v>3</v>
      </c>
      <c r="H219" s="22">
        <v>46</v>
      </c>
      <c r="I219" s="22">
        <v>8.5</v>
      </c>
      <c r="J219" s="22">
        <v>-12</v>
      </c>
      <c r="K219" s="22">
        <v>-6</v>
      </c>
      <c r="L219" s="22">
        <v>-6</v>
      </c>
      <c r="M219" s="22" t="s">
        <v>402</v>
      </c>
      <c r="N219" s="22" t="s">
        <v>403</v>
      </c>
      <c r="V219" s="59"/>
      <c r="X219" s="42" t="s">
        <v>3384</v>
      </c>
      <c r="Y219" s="42" t="s">
        <v>1544</v>
      </c>
      <c r="AK219" s="67"/>
    </row>
    <row r="220" spans="1:37">
      <c r="A220" s="335">
        <v>213</v>
      </c>
      <c r="B220" s="39" t="str">
        <f t="shared" si="46"/>
        <v>α lyr</v>
      </c>
      <c r="C220" s="39" t="str">
        <f t="shared" si="47"/>
        <v>μ 57</v>
      </c>
      <c r="F220" s="41" t="s">
        <v>3759</v>
      </c>
      <c r="G220" s="22">
        <v>3</v>
      </c>
      <c r="H220" s="22">
        <v>1</v>
      </c>
      <c r="I220" s="22">
        <v>10</v>
      </c>
      <c r="J220" s="22">
        <v>-7</v>
      </c>
      <c r="K220" s="22">
        <v>-39</v>
      </c>
      <c r="L220" s="22">
        <v>-47</v>
      </c>
      <c r="M220" s="22" t="s">
        <v>3760</v>
      </c>
      <c r="N220" s="22" t="s">
        <v>3950</v>
      </c>
      <c r="V220" s="59"/>
      <c r="X220" s="42" t="s">
        <v>3383</v>
      </c>
      <c r="Y220" s="42" t="s">
        <v>1544</v>
      </c>
      <c r="AK220" s="67"/>
    </row>
    <row r="221" spans="1:37">
      <c r="A221" s="335">
        <v>214</v>
      </c>
      <c r="B221" s="39" t="str">
        <f t="shared" si="46"/>
        <v>α lyr</v>
      </c>
      <c r="C221" s="39" t="str">
        <f t="shared" si="47"/>
        <v>μ 57</v>
      </c>
      <c r="F221" s="41" t="s">
        <v>3761</v>
      </c>
      <c r="G221" s="22">
        <v>3</v>
      </c>
      <c r="H221" s="22">
        <v>2</v>
      </c>
      <c r="I221" s="22">
        <v>42.3</v>
      </c>
      <c r="J221" s="22">
        <v>-7</v>
      </c>
      <c r="K221" s="22">
        <v>-41</v>
      </c>
      <c r="L221" s="22">
        <v>-8</v>
      </c>
      <c r="M221" s="22" t="s">
        <v>3951</v>
      </c>
      <c r="N221" s="22" t="s">
        <v>3952</v>
      </c>
      <c r="V221" s="59"/>
      <c r="X221" s="42" t="s">
        <v>3382</v>
      </c>
      <c r="Y221" s="42" t="s">
        <v>1544</v>
      </c>
      <c r="AK221" s="67"/>
    </row>
    <row r="222" spans="1:37">
      <c r="A222" s="335">
        <v>215</v>
      </c>
      <c r="B222" s="39" t="str">
        <f t="shared" si="46"/>
        <v>α lyr</v>
      </c>
      <c r="C222" s="39" t="str">
        <f t="shared" si="47"/>
        <v>μ 57</v>
      </c>
      <c r="F222" s="41" t="s">
        <v>3762</v>
      </c>
      <c r="G222" s="22">
        <v>3</v>
      </c>
      <c r="H222" s="22">
        <v>4</v>
      </c>
      <c r="I222" s="22">
        <v>16.5</v>
      </c>
      <c r="J222" s="22">
        <v>-7</v>
      </c>
      <c r="K222" s="22">
        <v>-36</v>
      </c>
      <c r="L222" s="22">
        <v>-3</v>
      </c>
      <c r="M222" s="22" t="s">
        <v>3763</v>
      </c>
      <c r="N222" s="22" t="s">
        <v>3953</v>
      </c>
      <c r="V222" s="59"/>
      <c r="X222" s="42" t="s">
        <v>3385</v>
      </c>
      <c r="Y222" s="42" t="s">
        <v>1544</v>
      </c>
      <c r="AK222" s="67"/>
    </row>
    <row r="223" spans="1:37">
      <c r="A223" s="335">
        <v>216</v>
      </c>
      <c r="B223" s="39" t="str">
        <f t="shared" si="46"/>
        <v>α lyr</v>
      </c>
      <c r="C223" s="39" t="str">
        <f t="shared" si="47"/>
        <v>μ 57</v>
      </c>
      <c r="F223" s="25" t="s">
        <v>1990</v>
      </c>
      <c r="G223" s="22">
        <v>2</v>
      </c>
      <c r="H223" s="22">
        <v>45</v>
      </c>
      <c r="I223" s="22">
        <v>6.2</v>
      </c>
      <c r="J223" s="22">
        <v>-18</v>
      </c>
      <c r="K223" s="22">
        <v>-34</v>
      </c>
      <c r="L223" s="22">
        <v>-21</v>
      </c>
      <c r="M223" s="22" t="s">
        <v>404</v>
      </c>
      <c r="N223" s="22" t="s">
        <v>405</v>
      </c>
      <c r="V223" s="59"/>
      <c r="X223" s="42" t="s">
        <v>3381</v>
      </c>
      <c r="Y223" s="42" t="s">
        <v>1488</v>
      </c>
      <c r="AK223" s="67"/>
    </row>
    <row r="224" spans="1:37">
      <c r="A224" s="335">
        <v>217</v>
      </c>
      <c r="B224" s="39" t="str">
        <f t="shared" si="46"/>
        <v>α lyr</v>
      </c>
      <c r="C224" s="39" t="str">
        <f t="shared" si="47"/>
        <v>μ 57</v>
      </c>
      <c r="F224" s="601" t="s">
        <v>1991</v>
      </c>
      <c r="G224" s="22">
        <v>2</v>
      </c>
      <c r="H224" s="22">
        <v>51</v>
      </c>
      <c r="I224" s="22">
        <v>2.2999999999999998</v>
      </c>
      <c r="J224" s="22">
        <v>-21</v>
      </c>
      <c r="K224" s="22">
        <v>0</v>
      </c>
      <c r="L224" s="22">
        <v>-14</v>
      </c>
      <c r="M224" s="22" t="s">
        <v>406</v>
      </c>
      <c r="N224" s="22" t="s">
        <v>407</v>
      </c>
      <c r="V224" s="59"/>
      <c r="X224" s="42" t="s">
        <v>3343</v>
      </c>
      <c r="Y224" s="42" t="s">
        <v>1488</v>
      </c>
      <c r="AK224" s="67"/>
    </row>
    <row r="225" spans="1:37">
      <c r="A225" s="335">
        <v>218</v>
      </c>
      <c r="B225" s="39" t="str">
        <f t="shared" si="46"/>
        <v>α lyr</v>
      </c>
      <c r="C225" s="39" t="str">
        <f t="shared" si="47"/>
        <v>μ 57</v>
      </c>
      <c r="F225" s="25" t="s">
        <v>1992</v>
      </c>
      <c r="G225" s="22">
        <v>3</v>
      </c>
      <c r="H225" s="22">
        <v>2</v>
      </c>
      <c r="I225" s="22">
        <v>23.4</v>
      </c>
      <c r="J225" s="22">
        <v>-23</v>
      </c>
      <c r="K225" s="22">
        <v>-37</v>
      </c>
      <c r="L225" s="22">
        <v>-28</v>
      </c>
      <c r="M225" s="22" t="s">
        <v>408</v>
      </c>
      <c r="N225" s="22" t="s">
        <v>409</v>
      </c>
      <c r="V225" s="59"/>
      <c r="X225" s="42" t="s">
        <v>3344</v>
      </c>
      <c r="Y225" s="42" t="s">
        <v>1488</v>
      </c>
      <c r="AK225" s="67"/>
    </row>
    <row r="226" spans="1:37">
      <c r="A226" s="335">
        <v>219</v>
      </c>
      <c r="B226" s="39" t="str">
        <f t="shared" si="46"/>
        <v>α lyr</v>
      </c>
      <c r="C226" s="39" t="str">
        <f t="shared" si="47"/>
        <v>μ 57</v>
      </c>
      <c r="F226" s="25" t="s">
        <v>1993</v>
      </c>
      <c r="G226" s="22">
        <v>3</v>
      </c>
      <c r="H226" s="22">
        <v>19</v>
      </c>
      <c r="I226" s="22">
        <v>31</v>
      </c>
      <c r="J226" s="22">
        <v>-21</v>
      </c>
      <c r="K226" s="22">
        <v>-45</v>
      </c>
      <c r="L226" s="22">
        <v>-28</v>
      </c>
      <c r="M226" s="22" t="s">
        <v>410</v>
      </c>
      <c r="N226" s="22" t="s">
        <v>411</v>
      </c>
      <c r="V226" s="59"/>
      <c r="X226" s="42" t="s">
        <v>3176</v>
      </c>
      <c r="Y226" s="42" t="s">
        <v>1488</v>
      </c>
      <c r="AK226" s="67"/>
    </row>
    <row r="227" spans="1:37">
      <c r="A227" s="335">
        <v>220</v>
      </c>
      <c r="B227" s="39" t="str">
        <f t="shared" si="46"/>
        <v>α lyr</v>
      </c>
      <c r="C227" s="39" t="str">
        <f t="shared" si="47"/>
        <v>μ 57</v>
      </c>
      <c r="F227" s="41" t="s">
        <v>1994</v>
      </c>
      <c r="G227" s="22">
        <v>3</v>
      </c>
      <c r="H227" s="22">
        <v>33</v>
      </c>
      <c r="I227" s="22">
        <v>47.3</v>
      </c>
      <c r="J227" s="22">
        <v>-21</v>
      </c>
      <c r="K227" s="22">
        <v>-37</v>
      </c>
      <c r="L227" s="22">
        <v>-58</v>
      </c>
      <c r="M227" s="22" t="s">
        <v>412</v>
      </c>
      <c r="N227" s="22" t="s">
        <v>413</v>
      </c>
      <c r="V227" s="59"/>
      <c r="X227" s="42" t="s">
        <v>3345</v>
      </c>
      <c r="Y227" s="42" t="s">
        <v>1514</v>
      </c>
      <c r="AK227" s="67"/>
    </row>
    <row r="228" spans="1:37">
      <c r="A228" s="335">
        <v>221</v>
      </c>
      <c r="B228" s="39" t="str">
        <f t="shared" si="46"/>
        <v>α lyr</v>
      </c>
      <c r="C228" s="39" t="str">
        <f t="shared" si="47"/>
        <v>μ 57</v>
      </c>
      <c r="F228" s="41" t="s">
        <v>3766</v>
      </c>
      <c r="G228" s="42">
        <v>4</v>
      </c>
      <c r="H228" s="42">
        <v>52</v>
      </c>
      <c r="I228" s="42">
        <v>53.7</v>
      </c>
      <c r="J228" s="42">
        <v>-5</v>
      </c>
      <c r="K228" s="42">
        <v>-27</v>
      </c>
      <c r="L228" s="42">
        <v>-10</v>
      </c>
      <c r="M228" s="22" t="s">
        <v>3768</v>
      </c>
      <c r="N228" s="43" t="s">
        <v>3767</v>
      </c>
      <c r="V228" s="59"/>
      <c r="X228" s="42" t="s">
        <v>3172</v>
      </c>
      <c r="Y228" s="42" t="s">
        <v>1514</v>
      </c>
      <c r="AK228" s="67"/>
    </row>
    <row r="229" spans="1:37">
      <c r="A229" s="335">
        <v>222</v>
      </c>
      <c r="B229" s="39" t="str">
        <f t="shared" si="46"/>
        <v>α lyr</v>
      </c>
      <c r="C229" s="39" t="str">
        <f t="shared" si="47"/>
        <v>μ 57</v>
      </c>
      <c r="F229" s="27" t="s">
        <v>1995</v>
      </c>
      <c r="G229" s="26"/>
      <c r="H229" s="26"/>
      <c r="I229" s="26"/>
      <c r="J229" s="26"/>
      <c r="K229" s="26"/>
      <c r="L229" s="26"/>
      <c r="M229" s="26" t="s">
        <v>414</v>
      </c>
      <c r="N229" s="26" t="s">
        <v>415</v>
      </c>
      <c r="V229" s="59"/>
      <c r="X229" s="42" t="s">
        <v>3346</v>
      </c>
      <c r="Y229" s="42" t="s">
        <v>1554</v>
      </c>
      <c r="AK229" s="67"/>
    </row>
    <row r="230" spans="1:37">
      <c r="A230" s="335">
        <v>223</v>
      </c>
      <c r="B230" s="39" t="str">
        <f t="shared" si="46"/>
        <v>α lyr</v>
      </c>
      <c r="C230" s="39" t="str">
        <f t="shared" si="47"/>
        <v>μ 57</v>
      </c>
      <c r="F230" s="25" t="s">
        <v>1996</v>
      </c>
      <c r="G230" s="22">
        <v>21</v>
      </c>
      <c r="H230" s="22">
        <v>15</v>
      </c>
      <c r="I230" s="22">
        <v>49.4</v>
      </c>
      <c r="J230" s="22">
        <v>5</v>
      </c>
      <c r="K230" s="22">
        <v>14</v>
      </c>
      <c r="L230" s="22">
        <v>52</v>
      </c>
      <c r="M230" s="22" t="s">
        <v>416</v>
      </c>
      <c r="N230" s="22" t="s">
        <v>417</v>
      </c>
      <c r="V230" s="59"/>
      <c r="X230" s="42" t="s">
        <v>3347</v>
      </c>
      <c r="Y230" s="42" t="s">
        <v>1554</v>
      </c>
      <c r="AK230" s="67"/>
    </row>
    <row r="231" spans="1:37">
      <c r="A231" s="335">
        <v>224</v>
      </c>
      <c r="B231" s="39" t="str">
        <f t="shared" si="46"/>
        <v>α lyr</v>
      </c>
      <c r="C231" s="39" t="str">
        <f t="shared" si="47"/>
        <v>μ 57</v>
      </c>
      <c r="F231" s="25" t="s">
        <v>1997</v>
      </c>
      <c r="G231" s="22">
        <v>21</v>
      </c>
      <c r="H231" s="22">
        <v>10</v>
      </c>
      <c r="I231" s="22">
        <v>20.5</v>
      </c>
      <c r="J231" s="22">
        <v>10</v>
      </c>
      <c r="K231" s="22">
        <v>7</v>
      </c>
      <c r="L231" s="22">
        <v>54</v>
      </c>
      <c r="M231" s="22" t="s">
        <v>418</v>
      </c>
      <c r="N231" s="22" t="s">
        <v>419</v>
      </c>
      <c r="V231" s="59"/>
      <c r="X231" s="42" t="s">
        <v>3348</v>
      </c>
      <c r="Y231" s="42" t="s">
        <v>1554</v>
      </c>
      <c r="AK231" s="67"/>
    </row>
    <row r="232" spans="1:37">
      <c r="A232" s="335">
        <v>225</v>
      </c>
      <c r="B232" s="39" t="str">
        <f t="shared" si="46"/>
        <v>α lyr</v>
      </c>
      <c r="C232" s="39" t="str">
        <f t="shared" si="47"/>
        <v>μ 57</v>
      </c>
      <c r="F232" s="25" t="s">
        <v>1998</v>
      </c>
      <c r="G232" s="22">
        <v>21</v>
      </c>
      <c r="H232" s="22">
        <v>14</v>
      </c>
      <c r="I232" s="22">
        <v>28.8</v>
      </c>
      <c r="J232" s="22">
        <v>10</v>
      </c>
      <c r="K232" s="22">
        <v>0</v>
      </c>
      <c r="L232" s="22">
        <v>25</v>
      </c>
      <c r="M232" s="22" t="s">
        <v>420</v>
      </c>
      <c r="N232" s="22" t="s">
        <v>421</v>
      </c>
      <c r="V232" s="59"/>
      <c r="X232" s="42" t="s">
        <v>3190</v>
      </c>
      <c r="Y232" s="42" t="s">
        <v>1554</v>
      </c>
      <c r="AK232" s="67"/>
    </row>
    <row r="233" spans="1:37">
      <c r="A233" s="335">
        <v>226</v>
      </c>
      <c r="B233" s="39" t="str">
        <f t="shared" si="46"/>
        <v>α lyr</v>
      </c>
      <c r="C233" s="39" t="str">
        <f t="shared" si="47"/>
        <v>μ 57</v>
      </c>
      <c r="F233" s="41" t="s">
        <v>3913</v>
      </c>
      <c r="G233" s="22">
        <v>20</v>
      </c>
      <c r="H233" s="22">
        <v>59</v>
      </c>
      <c r="I233" s="22">
        <v>4.5</v>
      </c>
      <c r="J233" s="22">
        <v>4</v>
      </c>
      <c r="K233" s="22">
        <v>17</v>
      </c>
      <c r="L233" s="22">
        <v>37</v>
      </c>
      <c r="M233" s="22" t="s">
        <v>3914</v>
      </c>
      <c r="N233" s="22" t="s">
        <v>3915</v>
      </c>
      <c r="V233" s="59"/>
      <c r="X233" s="42" t="s">
        <v>3349</v>
      </c>
      <c r="Y233" s="42" t="s">
        <v>1560</v>
      </c>
      <c r="AK233" s="67"/>
    </row>
    <row r="234" spans="1:37">
      <c r="A234" s="335">
        <v>227</v>
      </c>
      <c r="B234" s="39" t="str">
        <f t="shared" si="46"/>
        <v>α lyr</v>
      </c>
      <c r="C234" s="39" t="str">
        <f t="shared" si="47"/>
        <v>μ 57</v>
      </c>
      <c r="F234" s="27" t="s">
        <v>1999</v>
      </c>
      <c r="G234" s="26"/>
      <c r="H234" s="26"/>
      <c r="I234" s="26"/>
      <c r="J234" s="26"/>
      <c r="K234" s="26"/>
      <c r="L234" s="26"/>
      <c r="M234" s="26" t="s">
        <v>422</v>
      </c>
      <c r="N234" s="26" t="s">
        <v>423</v>
      </c>
      <c r="V234" s="59"/>
      <c r="X234" s="42" t="s">
        <v>3350</v>
      </c>
      <c r="Y234" s="42" t="s">
        <v>1560</v>
      </c>
      <c r="AK234" s="67"/>
    </row>
    <row r="235" spans="1:37">
      <c r="A235" s="335">
        <v>228</v>
      </c>
      <c r="B235" s="39" t="str">
        <f t="shared" si="46"/>
        <v>α lyr</v>
      </c>
      <c r="C235" s="39" t="str">
        <f t="shared" si="47"/>
        <v>μ 57</v>
      </c>
      <c r="F235" s="27" t="s">
        <v>2000</v>
      </c>
      <c r="G235" s="26"/>
      <c r="H235" s="26"/>
      <c r="I235" s="26"/>
      <c r="J235" s="26"/>
      <c r="K235" s="26"/>
      <c r="L235" s="26"/>
      <c r="M235" s="26" t="s">
        <v>424</v>
      </c>
      <c r="N235" s="26" t="s">
        <v>425</v>
      </c>
      <c r="V235" s="59"/>
      <c r="X235" s="42" t="s">
        <v>3351</v>
      </c>
      <c r="Y235" s="42" t="s">
        <v>1560</v>
      </c>
      <c r="AK235" s="67"/>
    </row>
    <row r="236" spans="1:37">
      <c r="A236" s="335">
        <v>229</v>
      </c>
      <c r="B236" s="39" t="str">
        <f t="shared" si="46"/>
        <v>α lyr</v>
      </c>
      <c r="C236" s="39" t="str">
        <f t="shared" si="47"/>
        <v>μ 57</v>
      </c>
      <c r="F236" s="25" t="s">
        <v>2001</v>
      </c>
      <c r="G236" s="22">
        <v>2</v>
      </c>
      <c r="H236" s="22">
        <v>2</v>
      </c>
      <c r="I236" s="22">
        <v>2.8</v>
      </c>
      <c r="J236" s="22">
        <v>2</v>
      </c>
      <c r="K236" s="22">
        <v>45</v>
      </c>
      <c r="L236" s="22">
        <v>50</v>
      </c>
      <c r="M236" s="22" t="s">
        <v>426</v>
      </c>
      <c r="N236" s="22" t="s">
        <v>427</v>
      </c>
      <c r="V236" s="59"/>
      <c r="X236" s="42" t="s">
        <v>3193</v>
      </c>
      <c r="Y236" s="42" t="s">
        <v>1560</v>
      </c>
      <c r="AK236" s="67"/>
    </row>
    <row r="237" spans="1:37">
      <c r="A237" s="335">
        <v>230</v>
      </c>
      <c r="B237" s="39" t="str">
        <f t="shared" si="46"/>
        <v>α lyr</v>
      </c>
      <c r="C237" s="39" t="str">
        <f t="shared" si="47"/>
        <v>μ 57</v>
      </c>
      <c r="F237" s="25" t="s">
        <v>2002</v>
      </c>
      <c r="G237" s="22">
        <v>23</v>
      </c>
      <c r="H237" s="22">
        <v>3</v>
      </c>
      <c r="I237" s="22">
        <v>52.6</v>
      </c>
      <c r="J237" s="22">
        <v>3</v>
      </c>
      <c r="K237" s="22">
        <v>49</v>
      </c>
      <c r="L237" s="22">
        <v>12</v>
      </c>
      <c r="M237" s="22" t="s">
        <v>428</v>
      </c>
      <c r="N237" s="22" t="s">
        <v>429</v>
      </c>
      <c r="V237" s="59"/>
      <c r="X237" s="42" t="s">
        <v>3352</v>
      </c>
      <c r="Y237" s="42" t="s">
        <v>1562</v>
      </c>
      <c r="AK237" s="67"/>
    </row>
    <row r="238" spans="1:37">
      <c r="A238" s="335">
        <v>231</v>
      </c>
      <c r="B238" s="39" t="str">
        <f t="shared" si="46"/>
        <v>α lyr</v>
      </c>
      <c r="C238" s="39" t="str">
        <f t="shared" si="47"/>
        <v>μ 57</v>
      </c>
      <c r="F238" s="25" t="s">
        <v>2003</v>
      </c>
      <c r="G238" s="22">
        <v>23</v>
      </c>
      <c r="H238" s="22">
        <v>17</v>
      </c>
      <c r="I238" s="22">
        <v>9.9</v>
      </c>
      <c r="J238" s="22">
        <v>3</v>
      </c>
      <c r="K238" s="22">
        <v>16</v>
      </c>
      <c r="L238" s="22">
        <v>56</v>
      </c>
      <c r="M238" s="22" t="s">
        <v>430</v>
      </c>
      <c r="N238" s="22" t="s">
        <v>431</v>
      </c>
      <c r="V238" s="59"/>
      <c r="X238" s="42" t="s">
        <v>3129</v>
      </c>
      <c r="Y238" s="42" t="s">
        <v>1562</v>
      </c>
      <c r="AK238" s="67"/>
    </row>
    <row r="239" spans="1:37">
      <c r="A239" s="335">
        <v>232</v>
      </c>
      <c r="B239" s="39" t="str">
        <f t="shared" si="46"/>
        <v>α lyr</v>
      </c>
      <c r="C239" s="39" t="str">
        <f t="shared" si="47"/>
        <v>μ 57</v>
      </c>
      <c r="F239" s="25" t="s">
        <v>2004</v>
      </c>
      <c r="G239" s="22">
        <v>0</v>
      </c>
      <c r="H239" s="22">
        <v>48</v>
      </c>
      <c r="I239" s="22">
        <v>40.9</v>
      </c>
      <c r="J239" s="22">
        <v>7</v>
      </c>
      <c r="K239" s="22">
        <v>35</v>
      </c>
      <c r="L239" s="22">
        <v>6</v>
      </c>
      <c r="M239" s="22" t="s">
        <v>432</v>
      </c>
      <c r="N239" s="22" t="s">
        <v>433</v>
      </c>
      <c r="V239" s="59"/>
      <c r="X239" s="42" t="s">
        <v>3353</v>
      </c>
      <c r="Y239" s="42" t="s">
        <v>1568</v>
      </c>
      <c r="AK239" s="67"/>
    </row>
    <row r="240" spans="1:37">
      <c r="A240" s="335">
        <v>233</v>
      </c>
      <c r="B240" s="39" t="str">
        <f t="shared" si="46"/>
        <v>α lyr</v>
      </c>
      <c r="C240" s="39" t="str">
        <f t="shared" si="47"/>
        <v>μ 57</v>
      </c>
      <c r="F240" s="25" t="s">
        <v>2005</v>
      </c>
      <c r="G240" s="22">
        <v>1</v>
      </c>
      <c r="H240" s="22">
        <v>2</v>
      </c>
      <c r="I240" s="22">
        <v>56.6</v>
      </c>
      <c r="J240" s="22">
        <v>7</v>
      </c>
      <c r="K240" s="22">
        <v>53</v>
      </c>
      <c r="L240" s="22">
        <v>24</v>
      </c>
      <c r="M240" s="22" t="s">
        <v>434</v>
      </c>
      <c r="N240" s="22" t="s">
        <v>435</v>
      </c>
      <c r="V240" s="59"/>
      <c r="X240" s="42" t="s">
        <v>3201</v>
      </c>
      <c r="Y240" s="42" t="s">
        <v>1568</v>
      </c>
      <c r="AK240" s="67"/>
    </row>
    <row r="241" spans="1:37">
      <c r="A241" s="335">
        <v>234</v>
      </c>
      <c r="B241" s="39" t="str">
        <f t="shared" si="46"/>
        <v>α lyr</v>
      </c>
      <c r="C241" s="39" t="str">
        <f t="shared" si="47"/>
        <v>μ 57</v>
      </c>
      <c r="F241" s="25" t="s">
        <v>2006</v>
      </c>
      <c r="G241" s="22">
        <v>1</v>
      </c>
      <c r="H241" s="22">
        <v>31</v>
      </c>
      <c r="I241" s="22">
        <v>29</v>
      </c>
      <c r="J241" s="22">
        <v>15</v>
      </c>
      <c r="K241" s="22">
        <v>20</v>
      </c>
      <c r="L241" s="22">
        <v>45</v>
      </c>
      <c r="M241" s="22" t="s">
        <v>436</v>
      </c>
      <c r="N241" s="22" t="s">
        <v>437</v>
      </c>
      <c r="V241" s="59"/>
      <c r="X241" s="42" t="s">
        <v>3354</v>
      </c>
      <c r="Y241" s="42" t="s">
        <v>1630</v>
      </c>
      <c r="AK241" s="67"/>
    </row>
    <row r="242" spans="1:37">
      <c r="A242" s="335">
        <v>235</v>
      </c>
      <c r="B242" s="39" t="str">
        <f t="shared" si="46"/>
        <v>α lyr</v>
      </c>
      <c r="C242" s="39" t="str">
        <f t="shared" si="47"/>
        <v>μ 57</v>
      </c>
      <c r="F242" s="25" t="s">
        <v>2007</v>
      </c>
      <c r="G242" s="22">
        <v>23</v>
      </c>
      <c r="H242" s="22">
        <v>27</v>
      </c>
      <c r="I242" s="22">
        <v>58.1</v>
      </c>
      <c r="J242" s="22">
        <v>6</v>
      </c>
      <c r="K242" s="22">
        <v>22</v>
      </c>
      <c r="L242" s="22">
        <v>44</v>
      </c>
      <c r="M242" s="22" t="s">
        <v>438</v>
      </c>
      <c r="N242" s="22" t="s">
        <v>439</v>
      </c>
      <c r="V242" s="59"/>
      <c r="X242" s="42" t="s">
        <v>3218</v>
      </c>
      <c r="Y242" s="42" t="s">
        <v>1630</v>
      </c>
      <c r="AK242" s="67"/>
    </row>
    <row r="243" spans="1:37">
      <c r="A243" s="335">
        <v>236</v>
      </c>
      <c r="B243" s="39" t="str">
        <f t="shared" si="46"/>
        <v>α lyr</v>
      </c>
      <c r="C243" s="39" t="str">
        <f t="shared" si="47"/>
        <v>μ 57</v>
      </c>
      <c r="F243" s="25" t="s">
        <v>2008</v>
      </c>
      <c r="G243" s="22">
        <v>23</v>
      </c>
      <c r="H243" s="22">
        <v>39</v>
      </c>
      <c r="I243" s="22">
        <v>57</v>
      </c>
      <c r="J243" s="22">
        <v>5</v>
      </c>
      <c r="K243" s="22">
        <v>37</v>
      </c>
      <c r="L243" s="22">
        <v>35</v>
      </c>
      <c r="M243" s="22" t="s">
        <v>440</v>
      </c>
      <c r="N243" s="22" t="s">
        <v>441</v>
      </c>
      <c r="V243" s="59"/>
      <c r="X243" s="42" t="s">
        <v>3355</v>
      </c>
      <c r="Y243" s="42" t="s">
        <v>1642</v>
      </c>
      <c r="AK243" s="67"/>
    </row>
    <row r="244" spans="1:37">
      <c r="A244" s="335">
        <v>237</v>
      </c>
      <c r="B244" s="39" t="str">
        <f t="shared" si="46"/>
        <v>α lyr</v>
      </c>
      <c r="C244" s="39" t="str">
        <f t="shared" si="47"/>
        <v>μ 57</v>
      </c>
      <c r="F244" s="25" t="s">
        <v>2009</v>
      </c>
      <c r="G244" s="22">
        <v>23</v>
      </c>
      <c r="H244" s="22">
        <v>26</v>
      </c>
      <c r="I244" s="22">
        <v>56</v>
      </c>
      <c r="J244" s="22">
        <v>1</v>
      </c>
      <c r="K244" s="22">
        <v>15</v>
      </c>
      <c r="L244" s="22">
        <v>20</v>
      </c>
      <c r="M244" s="22" t="s">
        <v>442</v>
      </c>
      <c r="N244" s="22" t="s">
        <v>443</v>
      </c>
      <c r="V244" s="59"/>
      <c r="X244" s="42" t="s">
        <v>3198</v>
      </c>
      <c r="Y244" s="42" t="s">
        <v>1642</v>
      </c>
      <c r="AK244" s="67"/>
    </row>
    <row r="245" spans="1:37">
      <c r="A245" s="335">
        <v>238</v>
      </c>
      <c r="B245" s="39" t="str">
        <f t="shared" si="46"/>
        <v>α lyr</v>
      </c>
      <c r="C245" s="39" t="str">
        <f t="shared" si="47"/>
        <v>μ 57</v>
      </c>
      <c r="F245" s="25" t="s">
        <v>2010</v>
      </c>
      <c r="G245" s="22">
        <v>23</v>
      </c>
      <c r="H245" s="22">
        <v>42</v>
      </c>
      <c r="I245" s="22">
        <v>2.8</v>
      </c>
      <c r="J245" s="22">
        <v>1</v>
      </c>
      <c r="K245" s="22">
        <v>46</v>
      </c>
      <c r="L245" s="22">
        <v>48</v>
      </c>
      <c r="M245" s="22" t="s">
        <v>444</v>
      </c>
      <c r="N245" s="22" t="s">
        <v>445</v>
      </c>
      <c r="V245" s="59"/>
      <c r="X245" s="42" t="s">
        <v>3356</v>
      </c>
      <c r="Y245" s="42" t="s">
        <v>1670</v>
      </c>
      <c r="AI245" s="67"/>
      <c r="AJ245" s="67"/>
      <c r="AK245" s="67"/>
    </row>
    <row r="246" spans="1:37">
      <c r="A246" s="335">
        <v>239</v>
      </c>
      <c r="B246" s="39" t="str">
        <f t="shared" si="46"/>
        <v>α lyr</v>
      </c>
      <c r="C246" s="39" t="str">
        <f t="shared" si="47"/>
        <v>μ 57</v>
      </c>
      <c r="F246" s="25" t="s">
        <v>2011</v>
      </c>
      <c r="G246" s="22">
        <v>1</v>
      </c>
      <c r="H246" s="22">
        <v>30</v>
      </c>
      <c r="I246" s="22">
        <v>11.1</v>
      </c>
      <c r="J246" s="22">
        <v>6</v>
      </c>
      <c r="K246" s="22">
        <v>8</v>
      </c>
      <c r="L246" s="22">
        <v>38</v>
      </c>
      <c r="M246" s="22" t="s">
        <v>446</v>
      </c>
      <c r="N246" s="22" t="s">
        <v>447</v>
      </c>
      <c r="V246" s="59"/>
      <c r="X246" s="42" t="s">
        <v>3357</v>
      </c>
      <c r="Y246" s="42" t="s">
        <v>1670</v>
      </c>
      <c r="AI246" s="62"/>
      <c r="AJ246" s="62"/>
      <c r="AK246" s="67"/>
    </row>
    <row r="247" spans="1:37">
      <c r="A247" s="335">
        <v>240</v>
      </c>
      <c r="B247" s="39" t="str">
        <f t="shared" si="46"/>
        <v>α lyr</v>
      </c>
      <c r="C247" s="39" t="str">
        <f t="shared" si="47"/>
        <v>μ 57</v>
      </c>
      <c r="F247" s="25" t="s">
        <v>2012</v>
      </c>
      <c r="G247" s="22">
        <v>1</v>
      </c>
      <c r="H247" s="22">
        <v>41</v>
      </c>
      <c r="I247" s="22">
        <v>25.9</v>
      </c>
      <c r="J247" s="22">
        <v>5</v>
      </c>
      <c r="K247" s="22">
        <v>29</v>
      </c>
      <c r="L247" s="22">
        <v>15</v>
      </c>
      <c r="M247" s="22" t="s">
        <v>448</v>
      </c>
      <c r="N247" s="22" t="s">
        <v>449</v>
      </c>
      <c r="V247" s="59"/>
      <c r="X247" s="42" t="s">
        <v>3358</v>
      </c>
      <c r="Y247" s="42" t="s">
        <v>1670</v>
      </c>
      <c r="AI247" s="62"/>
      <c r="AJ247" s="62"/>
      <c r="AK247" s="67"/>
    </row>
    <row r="248" spans="1:37">
      <c r="A248" s="335">
        <v>241</v>
      </c>
      <c r="B248" s="39" t="str">
        <f t="shared" si="46"/>
        <v>α lyr</v>
      </c>
      <c r="C248" s="39" t="str">
        <f t="shared" si="47"/>
        <v>μ 57</v>
      </c>
      <c r="F248" s="25" t="s">
        <v>2013</v>
      </c>
      <c r="G248" s="22">
        <v>1</v>
      </c>
      <c r="H248" s="22">
        <v>45</v>
      </c>
      <c r="I248" s="22">
        <v>23.6</v>
      </c>
      <c r="J248" s="22">
        <v>9</v>
      </c>
      <c r="K248" s="22">
        <v>9</v>
      </c>
      <c r="L248" s="22">
        <v>28</v>
      </c>
      <c r="M248" s="22" t="s">
        <v>450</v>
      </c>
      <c r="N248" s="22" t="s">
        <v>451</v>
      </c>
      <c r="V248" s="59"/>
      <c r="X248" s="42" t="s">
        <v>3221</v>
      </c>
      <c r="Y248" s="42" t="s">
        <v>1670</v>
      </c>
      <c r="AI248" s="62"/>
      <c r="AJ248" s="62"/>
      <c r="AK248" s="67"/>
    </row>
    <row r="249" spans="1:37">
      <c r="A249" s="335">
        <v>242</v>
      </c>
      <c r="B249" s="39" t="str">
        <f t="shared" si="46"/>
        <v>α lyr</v>
      </c>
      <c r="C249" s="39" t="str">
        <f t="shared" si="47"/>
        <v>μ 57</v>
      </c>
      <c r="F249" s="25" t="s">
        <v>2014</v>
      </c>
      <c r="G249" s="22">
        <v>23</v>
      </c>
      <c r="H249" s="22">
        <v>59</v>
      </c>
      <c r="I249" s="22">
        <v>18.7</v>
      </c>
      <c r="J249" s="22">
        <v>6</v>
      </c>
      <c r="K249" s="22">
        <v>48</v>
      </c>
      <c r="L249" s="22">
        <v>48</v>
      </c>
      <c r="M249" s="22" t="s">
        <v>452</v>
      </c>
      <c r="N249" s="22" t="s">
        <v>453</v>
      </c>
      <c r="V249" s="59"/>
      <c r="X249" s="42" t="s">
        <v>3359</v>
      </c>
      <c r="Y249" s="42" t="s">
        <v>1678</v>
      </c>
      <c r="AI249" s="62"/>
      <c r="AJ249" s="62"/>
      <c r="AK249" s="67"/>
    </row>
    <row r="250" spans="1:37">
      <c r="A250" s="335">
        <v>243</v>
      </c>
      <c r="B250" s="39" t="str">
        <f t="shared" si="46"/>
        <v>α lyr</v>
      </c>
      <c r="C250" s="39" t="str">
        <f t="shared" si="47"/>
        <v>μ 57</v>
      </c>
      <c r="F250" s="27" t="s">
        <v>2015</v>
      </c>
      <c r="G250" s="26"/>
      <c r="H250" s="26"/>
      <c r="I250" s="26"/>
      <c r="J250" s="26"/>
      <c r="K250" s="26"/>
      <c r="L250" s="26"/>
      <c r="M250" s="26" t="s">
        <v>454</v>
      </c>
      <c r="N250" s="30" t="s">
        <v>455</v>
      </c>
      <c r="V250" s="59"/>
      <c r="X250" s="42" t="s">
        <v>3360</v>
      </c>
      <c r="Y250" s="42" t="s">
        <v>1678</v>
      </c>
      <c r="AI250" s="62"/>
      <c r="AJ250" s="62"/>
      <c r="AK250" s="67"/>
    </row>
    <row r="251" spans="1:37">
      <c r="A251" s="335">
        <v>244</v>
      </c>
      <c r="B251" s="39" t="str">
        <f t="shared" si="46"/>
        <v>α lyr</v>
      </c>
      <c r="C251" s="39" t="str">
        <f t="shared" si="47"/>
        <v>μ 57</v>
      </c>
      <c r="F251" s="25" t="s">
        <v>2016</v>
      </c>
      <c r="G251" s="22">
        <v>22</v>
      </c>
      <c r="H251" s="22">
        <v>57</v>
      </c>
      <c r="I251" s="22">
        <v>39.1</v>
      </c>
      <c r="J251" s="22">
        <v>-29</v>
      </c>
      <c r="K251" s="22">
        <v>-37</v>
      </c>
      <c r="L251" s="22">
        <v>-20</v>
      </c>
      <c r="M251" s="22" t="s">
        <v>456</v>
      </c>
      <c r="N251" s="23" t="s">
        <v>457</v>
      </c>
      <c r="V251" s="59"/>
      <c r="X251" s="42" t="s">
        <v>3361</v>
      </c>
      <c r="Y251" s="42" t="s">
        <v>1678</v>
      </c>
      <c r="AI251" s="62"/>
      <c r="AJ251" s="62"/>
      <c r="AK251" s="67"/>
    </row>
    <row r="252" spans="1:37">
      <c r="A252" s="335">
        <v>245</v>
      </c>
      <c r="B252" s="39" t="str">
        <f t="shared" si="46"/>
        <v>α lyr</v>
      </c>
      <c r="C252" s="39" t="str">
        <f t="shared" si="47"/>
        <v>μ 57</v>
      </c>
      <c r="F252" s="25" t="s">
        <v>2017</v>
      </c>
      <c r="G252" s="22">
        <v>22</v>
      </c>
      <c r="H252" s="22">
        <v>31</v>
      </c>
      <c r="I252" s="22">
        <v>30.4</v>
      </c>
      <c r="J252" s="22">
        <v>-32</v>
      </c>
      <c r="K252" s="22">
        <v>-20</v>
      </c>
      <c r="L252" s="22">
        <v>-45</v>
      </c>
      <c r="M252" s="22" t="s">
        <v>458</v>
      </c>
      <c r="N252" s="23" t="s">
        <v>459</v>
      </c>
      <c r="V252" s="59"/>
      <c r="X252" s="42" t="s">
        <v>3043</v>
      </c>
      <c r="Y252" s="42" t="s">
        <v>1678</v>
      </c>
      <c r="AI252" s="62"/>
      <c r="AJ252" s="62"/>
      <c r="AK252" s="67"/>
    </row>
    <row r="253" spans="1:37">
      <c r="A253" s="335">
        <v>246</v>
      </c>
      <c r="B253" s="39" t="str">
        <f t="shared" si="46"/>
        <v>α lyr</v>
      </c>
      <c r="C253" s="39" t="str">
        <f t="shared" si="47"/>
        <v>μ 57</v>
      </c>
      <c r="F253" s="25" t="s">
        <v>2018</v>
      </c>
      <c r="G253" s="22">
        <v>22</v>
      </c>
      <c r="H253" s="22">
        <v>52</v>
      </c>
      <c r="I253" s="22">
        <v>31.6</v>
      </c>
      <c r="J253" s="22">
        <v>-32</v>
      </c>
      <c r="K253" s="22">
        <v>-52</v>
      </c>
      <c r="L253" s="22">
        <v>-32</v>
      </c>
      <c r="M253" s="22" t="s">
        <v>460</v>
      </c>
      <c r="N253" s="23" t="s">
        <v>461</v>
      </c>
      <c r="V253" s="59"/>
      <c r="X253" s="42" t="s">
        <v>3362</v>
      </c>
      <c r="Y253" s="42" t="s">
        <v>1714</v>
      </c>
      <c r="AI253" s="62"/>
      <c r="AJ253" s="62"/>
      <c r="AK253" s="67"/>
    </row>
    <row r="254" spans="1:37">
      <c r="A254" s="335">
        <v>247</v>
      </c>
      <c r="B254" s="39" t="str">
        <f t="shared" si="46"/>
        <v>α lyr</v>
      </c>
      <c r="C254" s="39" t="str">
        <f t="shared" si="47"/>
        <v>μ 57</v>
      </c>
      <c r="F254" s="25" t="s">
        <v>2019</v>
      </c>
      <c r="G254" s="22">
        <v>22</v>
      </c>
      <c r="H254" s="22">
        <v>55</v>
      </c>
      <c r="I254" s="22">
        <v>55.9</v>
      </c>
      <c r="J254" s="22">
        <v>-32</v>
      </c>
      <c r="K254" s="22">
        <v>-32</v>
      </c>
      <c r="L254" s="22">
        <v>-23</v>
      </c>
      <c r="M254" s="22" t="s">
        <v>462</v>
      </c>
      <c r="N254" s="23" t="s">
        <v>463</v>
      </c>
      <c r="V254" s="59"/>
      <c r="X254" s="42" t="s">
        <v>3126</v>
      </c>
      <c r="Y254" s="42" t="s">
        <v>1714</v>
      </c>
      <c r="AI254" s="62"/>
      <c r="AJ254" s="62"/>
      <c r="AK254" s="67"/>
    </row>
    <row r="255" spans="1:37">
      <c r="A255" s="335">
        <v>248</v>
      </c>
      <c r="B255" s="39" t="str">
        <f t="shared" si="46"/>
        <v>α lyr</v>
      </c>
      <c r="C255" s="39" t="str">
        <f t="shared" si="47"/>
        <v>μ 57</v>
      </c>
      <c r="F255" s="25" t="s">
        <v>2020</v>
      </c>
      <c r="G255" s="22">
        <v>22</v>
      </c>
      <c r="H255" s="22">
        <v>40</v>
      </c>
      <c r="I255" s="22">
        <v>39.299999999999997</v>
      </c>
      <c r="J255" s="22">
        <v>-27</v>
      </c>
      <c r="K255" s="22">
        <v>-2</v>
      </c>
      <c r="L255" s="22">
        <v>-37</v>
      </c>
      <c r="M255" s="22" t="s">
        <v>464</v>
      </c>
      <c r="N255" s="23" t="s">
        <v>465</v>
      </c>
      <c r="V255" s="59"/>
      <c r="X255" s="42" t="s">
        <v>3363</v>
      </c>
      <c r="Y255" s="42" t="s">
        <v>1680</v>
      </c>
      <c r="AI255" s="62"/>
      <c r="AJ255" s="62"/>
      <c r="AK255" s="67"/>
    </row>
    <row r="256" spans="1:37">
      <c r="A256" s="335">
        <v>249</v>
      </c>
      <c r="B256" s="39" t="str">
        <f t="shared" si="46"/>
        <v>α lyr</v>
      </c>
      <c r="C256" s="39" t="str">
        <f t="shared" si="47"/>
        <v>μ 57</v>
      </c>
      <c r="F256" s="27" t="s">
        <v>2021</v>
      </c>
      <c r="G256" s="26"/>
      <c r="H256" s="26"/>
      <c r="I256" s="26"/>
      <c r="J256" s="26"/>
      <c r="K256" s="26"/>
      <c r="L256" s="26"/>
      <c r="M256" s="26" t="s">
        <v>466</v>
      </c>
      <c r="N256" s="30" t="s">
        <v>467</v>
      </c>
      <c r="V256" s="59"/>
      <c r="X256" s="42" t="s">
        <v>3003</v>
      </c>
      <c r="Y256" s="42" t="s">
        <v>1680</v>
      </c>
      <c r="AI256" s="62"/>
      <c r="AJ256" s="62"/>
      <c r="AK256" s="67"/>
    </row>
    <row r="257" spans="1:37">
      <c r="A257" s="335">
        <v>250</v>
      </c>
      <c r="B257" s="39" t="str">
        <f t="shared" si="46"/>
        <v>α lyr</v>
      </c>
      <c r="C257" s="39" t="str">
        <f t="shared" si="47"/>
        <v>μ 57</v>
      </c>
      <c r="F257" s="25" t="s">
        <v>2022</v>
      </c>
      <c r="G257" s="22">
        <v>4</v>
      </c>
      <c r="H257" s="22">
        <v>54</v>
      </c>
      <c r="I257" s="22">
        <v>3</v>
      </c>
      <c r="J257" s="22">
        <v>66</v>
      </c>
      <c r="K257" s="22">
        <v>20</v>
      </c>
      <c r="L257" s="22">
        <v>34</v>
      </c>
      <c r="M257" s="22" t="s">
        <v>468</v>
      </c>
      <c r="N257" s="23" t="s">
        <v>469</v>
      </c>
      <c r="V257" s="59"/>
      <c r="X257" s="1" t="s">
        <v>3387</v>
      </c>
      <c r="Y257" s="42" t="s">
        <v>3179</v>
      </c>
      <c r="AI257" s="62"/>
      <c r="AJ257" s="62"/>
      <c r="AK257" s="67"/>
    </row>
    <row r="258" spans="1:37">
      <c r="A258" s="335">
        <v>251</v>
      </c>
      <c r="B258" s="39" t="str">
        <f t="shared" si="46"/>
        <v>α lyr</v>
      </c>
      <c r="C258" s="39" t="str">
        <f t="shared" si="47"/>
        <v>μ 57</v>
      </c>
      <c r="F258" s="25" t="s">
        <v>2023</v>
      </c>
      <c r="G258" s="22">
        <v>5</v>
      </c>
      <c r="H258" s="22">
        <v>3</v>
      </c>
      <c r="I258" s="22">
        <v>25.1</v>
      </c>
      <c r="J258" s="22">
        <v>60</v>
      </c>
      <c r="K258" s="22">
        <v>26</v>
      </c>
      <c r="L258" s="22">
        <v>32</v>
      </c>
      <c r="M258" s="22" t="s">
        <v>470</v>
      </c>
      <c r="N258" s="23" t="s">
        <v>471</v>
      </c>
      <c r="V258" s="59"/>
      <c r="X258" s="1" t="s">
        <v>3389</v>
      </c>
      <c r="Y258" s="42" t="s">
        <v>3179</v>
      </c>
      <c r="AI258" s="62"/>
      <c r="AJ258" s="62"/>
      <c r="AK258" s="67"/>
    </row>
    <row r="259" spans="1:37">
      <c r="A259" s="335">
        <v>252</v>
      </c>
      <c r="B259" s="39" t="str">
        <f t="shared" si="46"/>
        <v>α lyr</v>
      </c>
      <c r="C259" s="39" t="str">
        <f t="shared" si="47"/>
        <v>μ 57</v>
      </c>
      <c r="F259" s="25" t="s">
        <v>2024</v>
      </c>
      <c r="G259" s="22">
        <v>3</v>
      </c>
      <c r="H259" s="22">
        <v>50</v>
      </c>
      <c r="I259" s="22">
        <v>21.5</v>
      </c>
      <c r="J259" s="22">
        <v>71</v>
      </c>
      <c r="K259" s="22">
        <v>19</v>
      </c>
      <c r="L259" s="22">
        <v>56</v>
      </c>
      <c r="M259" s="22" t="s">
        <v>472</v>
      </c>
      <c r="N259" s="23" t="s">
        <v>473</v>
      </c>
      <c r="V259" s="59"/>
      <c r="X259" s="1" t="s">
        <v>3388</v>
      </c>
      <c r="Y259" s="42" t="s">
        <v>3179</v>
      </c>
      <c r="AI259" s="62"/>
      <c r="AJ259" s="62"/>
      <c r="AK259" s="67"/>
    </row>
    <row r="260" spans="1:37">
      <c r="A260" s="335">
        <v>253</v>
      </c>
      <c r="B260" s="39" t="str">
        <f t="shared" si="46"/>
        <v>α lyr</v>
      </c>
      <c r="C260" s="39" t="str">
        <f t="shared" si="47"/>
        <v>μ 57</v>
      </c>
      <c r="F260" s="27" t="s">
        <v>2025</v>
      </c>
      <c r="G260" s="26"/>
      <c r="H260" s="26"/>
      <c r="I260" s="26"/>
      <c r="J260" s="26"/>
      <c r="K260" s="26"/>
      <c r="L260" s="26"/>
      <c r="M260" s="26" t="s">
        <v>474</v>
      </c>
      <c r="N260" s="26" t="s">
        <v>475</v>
      </c>
      <c r="V260" s="59"/>
      <c r="X260" s="1" t="s">
        <v>3390</v>
      </c>
      <c r="Y260" s="42" t="s">
        <v>3179</v>
      </c>
      <c r="AI260" s="62"/>
      <c r="AJ260" s="62"/>
      <c r="AK260" s="67"/>
    </row>
    <row r="261" spans="1:37">
      <c r="A261" s="335">
        <v>254</v>
      </c>
      <c r="B261" s="39" t="str">
        <f t="shared" si="46"/>
        <v>α lyr</v>
      </c>
      <c r="C261" s="39" t="str">
        <f t="shared" si="47"/>
        <v>μ 57</v>
      </c>
      <c r="F261" s="27" t="s">
        <v>2026</v>
      </c>
      <c r="G261" s="26"/>
      <c r="H261" s="26"/>
      <c r="I261" s="26"/>
      <c r="J261" s="26"/>
      <c r="K261" s="26"/>
      <c r="L261" s="26"/>
      <c r="M261" s="26" t="s">
        <v>476</v>
      </c>
      <c r="N261" s="26" t="s">
        <v>477</v>
      </c>
      <c r="V261" s="59"/>
      <c r="X261" s="42" t="s">
        <v>3364</v>
      </c>
      <c r="Y261" s="42" t="s">
        <v>1758</v>
      </c>
      <c r="AK261" s="67"/>
    </row>
    <row r="262" spans="1:37">
      <c r="A262" s="335">
        <v>255</v>
      </c>
      <c r="B262" s="39" t="str">
        <f t="shared" ref="B262:B325" si="48">IF(B261=F262,A262,B261)</f>
        <v>α lyr</v>
      </c>
      <c r="C262" s="39" t="str">
        <f t="shared" ref="C262:C325" si="49" xml:space="preserve"> IF(C261=F262,A262,C261)</f>
        <v>μ 57</v>
      </c>
      <c r="F262" s="25" t="s">
        <v>2027</v>
      </c>
      <c r="G262" s="22">
        <v>8</v>
      </c>
      <c r="H262" s="22">
        <v>58</v>
      </c>
      <c r="I262" s="22">
        <v>29.2</v>
      </c>
      <c r="J262" s="22">
        <v>11</v>
      </c>
      <c r="K262" s="22">
        <v>51</v>
      </c>
      <c r="L262" s="22">
        <v>28</v>
      </c>
      <c r="M262" s="22" t="s">
        <v>478</v>
      </c>
      <c r="N262" s="22" t="s">
        <v>479</v>
      </c>
      <c r="V262" s="59"/>
      <c r="X262" s="42" t="s">
        <v>3168</v>
      </c>
      <c r="Y262" s="42" t="s">
        <v>1758</v>
      </c>
      <c r="AK262" s="67"/>
    </row>
    <row r="263" spans="1:37">
      <c r="A263" s="335">
        <v>256</v>
      </c>
      <c r="B263" s="39" t="str">
        <f t="shared" si="48"/>
        <v>α lyr</v>
      </c>
      <c r="C263" s="39" t="str">
        <f t="shared" si="49"/>
        <v>μ 57</v>
      </c>
      <c r="F263" s="25" t="s">
        <v>2028</v>
      </c>
      <c r="G263" s="22">
        <v>8</v>
      </c>
      <c r="H263" s="22">
        <v>16</v>
      </c>
      <c r="I263" s="22">
        <v>30.9</v>
      </c>
      <c r="J263" s="22">
        <v>9</v>
      </c>
      <c r="K263" s="22">
        <v>11</v>
      </c>
      <c r="L263" s="22">
        <v>8</v>
      </c>
      <c r="M263" s="22" t="s">
        <v>480</v>
      </c>
      <c r="N263" s="22" t="s">
        <v>481</v>
      </c>
      <c r="V263" s="59"/>
      <c r="W263" s="59"/>
      <c r="X263" s="42" t="s">
        <v>3365</v>
      </c>
      <c r="Y263" s="42" t="s">
        <v>1758</v>
      </c>
      <c r="Z263" s="59"/>
      <c r="AA263" s="59"/>
      <c r="AB263" s="59"/>
      <c r="AC263" s="59"/>
      <c r="AD263" s="59"/>
      <c r="AE263" s="59"/>
      <c r="AF263" s="59"/>
      <c r="AK263" s="62"/>
    </row>
    <row r="264" spans="1:37">
      <c r="A264" s="335">
        <v>257</v>
      </c>
      <c r="B264" s="39" t="str">
        <f t="shared" si="48"/>
        <v>α lyr</v>
      </c>
      <c r="C264" s="39" t="str">
        <f t="shared" si="49"/>
        <v>μ 57</v>
      </c>
      <c r="F264" s="25" t="s">
        <v>2029</v>
      </c>
      <c r="G264" s="22">
        <v>8</v>
      </c>
      <c r="H264" s="22">
        <v>43</v>
      </c>
      <c r="I264" s="22">
        <v>17.100000000000001</v>
      </c>
      <c r="J264" s="22">
        <v>21</v>
      </c>
      <c r="K264" s="22">
        <v>28</v>
      </c>
      <c r="L264" s="22">
        <v>7</v>
      </c>
      <c r="M264" s="22" t="s">
        <v>482</v>
      </c>
      <c r="N264" s="23" t="s">
        <v>483</v>
      </c>
      <c r="V264" s="59"/>
      <c r="X264" s="42" t="s">
        <v>3366</v>
      </c>
      <c r="Y264" s="42" t="s">
        <v>1758</v>
      </c>
      <c r="AK264" s="62"/>
    </row>
    <row r="265" spans="1:37">
      <c r="A265" s="335">
        <v>258</v>
      </c>
      <c r="B265" s="39" t="str">
        <f t="shared" si="48"/>
        <v>α lyr</v>
      </c>
      <c r="C265" s="39" t="str">
        <f t="shared" si="49"/>
        <v>μ 57</v>
      </c>
      <c r="F265" s="25" t="s">
        <v>2030</v>
      </c>
      <c r="G265" s="22">
        <v>8</v>
      </c>
      <c r="H265" s="22">
        <v>44</v>
      </c>
      <c r="I265" s="22">
        <v>41.1</v>
      </c>
      <c r="J265" s="22">
        <v>18</v>
      </c>
      <c r="K265" s="22">
        <v>9</v>
      </c>
      <c r="L265" s="22">
        <v>15</v>
      </c>
      <c r="M265" s="22" t="s">
        <v>484</v>
      </c>
      <c r="N265" s="23" t="s">
        <v>485</v>
      </c>
      <c r="V265" s="59"/>
      <c r="X265" s="42" t="s">
        <v>3367</v>
      </c>
      <c r="Y265" s="42" t="s">
        <v>3367</v>
      </c>
      <c r="AK265" s="62"/>
    </row>
    <row r="266" spans="1:37">
      <c r="A266" s="335">
        <v>259</v>
      </c>
      <c r="B266" s="39" t="str">
        <f t="shared" si="48"/>
        <v>α lyr</v>
      </c>
      <c r="C266" s="39" t="str">
        <f t="shared" si="49"/>
        <v>μ 57</v>
      </c>
      <c r="F266" s="25" t="s">
        <v>2031</v>
      </c>
      <c r="G266" s="22">
        <v>8</v>
      </c>
      <c r="H266" s="22">
        <v>12</v>
      </c>
      <c r="I266" s="22">
        <v>12.7</v>
      </c>
      <c r="J266" s="22">
        <v>17</v>
      </c>
      <c r="K266" s="22">
        <v>38</v>
      </c>
      <c r="L266" s="22">
        <v>53</v>
      </c>
      <c r="M266" s="22" t="s">
        <v>486</v>
      </c>
      <c r="N266" s="23" t="s">
        <v>487</v>
      </c>
      <c r="V266" s="59"/>
      <c r="X266" s="70" t="s">
        <v>3368</v>
      </c>
      <c r="Y266" s="70" t="s">
        <v>3369</v>
      </c>
      <c r="AK266" s="62"/>
    </row>
    <row r="267" spans="1:37">
      <c r="A267" s="335">
        <v>260</v>
      </c>
      <c r="B267" s="39" t="str">
        <f t="shared" si="48"/>
        <v>α lyr</v>
      </c>
      <c r="C267" s="39" t="str">
        <f t="shared" si="49"/>
        <v>μ 57</v>
      </c>
      <c r="F267" s="25" t="s">
        <v>2032</v>
      </c>
      <c r="G267" s="22">
        <v>8</v>
      </c>
      <c r="H267" s="22">
        <v>46</v>
      </c>
      <c r="I267" s="22">
        <v>41.8</v>
      </c>
      <c r="J267" s="22">
        <v>28</v>
      </c>
      <c r="K267" s="22">
        <v>45</v>
      </c>
      <c r="L267" s="22">
        <v>36</v>
      </c>
      <c r="M267" s="22" t="s">
        <v>488</v>
      </c>
      <c r="N267" s="23" t="s">
        <v>489</v>
      </c>
      <c r="V267" s="59"/>
      <c r="X267" s="59"/>
      <c r="Y267" s="59"/>
      <c r="AK267" s="62"/>
    </row>
    <row r="268" spans="1:37">
      <c r="A268" s="335">
        <v>261</v>
      </c>
      <c r="B268" s="39" t="str">
        <f t="shared" si="48"/>
        <v>α lyr</v>
      </c>
      <c r="C268" s="39" t="str">
        <f t="shared" si="49"/>
        <v>μ 57</v>
      </c>
      <c r="F268" s="27" t="s">
        <v>2033</v>
      </c>
      <c r="G268" s="26"/>
      <c r="H268" s="40"/>
      <c r="I268" s="40"/>
      <c r="J268" s="26"/>
      <c r="K268" s="40"/>
      <c r="L268" s="40"/>
      <c r="M268" s="40" t="s">
        <v>490</v>
      </c>
      <c r="N268" s="40" t="s">
        <v>491</v>
      </c>
      <c r="AK268" s="62"/>
    </row>
    <row r="269" spans="1:37">
      <c r="A269" s="335">
        <v>262</v>
      </c>
      <c r="B269" s="39" t="str">
        <f t="shared" si="48"/>
        <v>α lyr</v>
      </c>
      <c r="C269" s="39" t="str">
        <f t="shared" si="49"/>
        <v>μ 57</v>
      </c>
      <c r="F269" s="25" t="s">
        <v>2034</v>
      </c>
      <c r="G269" s="33">
        <v>0</v>
      </c>
      <c r="H269" s="33">
        <v>40</v>
      </c>
      <c r="I269" s="33">
        <v>30.4</v>
      </c>
      <c r="J269" s="33">
        <v>56</v>
      </c>
      <c r="K269" s="33">
        <v>32</v>
      </c>
      <c r="L269" s="33">
        <v>14</v>
      </c>
      <c r="M269" s="33" t="s">
        <v>492</v>
      </c>
      <c r="N269" s="33" t="s">
        <v>493</v>
      </c>
      <c r="AK269" s="62"/>
    </row>
    <row r="270" spans="1:37">
      <c r="A270" s="335">
        <v>263</v>
      </c>
      <c r="B270" s="39" t="str">
        <f t="shared" si="48"/>
        <v>α lyr</v>
      </c>
      <c r="C270" s="39" t="str">
        <f t="shared" si="49"/>
        <v>μ 57</v>
      </c>
      <c r="F270" s="25" t="s">
        <v>2035</v>
      </c>
      <c r="G270" s="33">
        <v>0</v>
      </c>
      <c r="H270" s="33">
        <v>9</v>
      </c>
      <c r="I270" s="33">
        <v>10.7</v>
      </c>
      <c r="J270" s="33">
        <v>59</v>
      </c>
      <c r="K270" s="33">
        <v>8</v>
      </c>
      <c r="L270" s="33">
        <v>59</v>
      </c>
      <c r="M270" s="33" t="s">
        <v>494</v>
      </c>
      <c r="N270" s="33" t="s">
        <v>495</v>
      </c>
      <c r="AK270" s="62"/>
    </row>
    <row r="271" spans="1:37">
      <c r="A271" s="335">
        <v>264</v>
      </c>
      <c r="B271" s="39" t="str">
        <f t="shared" si="48"/>
        <v>α lyr</v>
      </c>
      <c r="C271" s="39" t="str">
        <f t="shared" si="49"/>
        <v>μ 57</v>
      </c>
      <c r="F271" s="25" t="s">
        <v>2036</v>
      </c>
      <c r="G271" s="33">
        <v>0</v>
      </c>
      <c r="H271" s="33">
        <v>56</v>
      </c>
      <c r="I271" s="33">
        <v>42.5</v>
      </c>
      <c r="J271" s="33">
        <v>60</v>
      </c>
      <c r="K271" s="33">
        <v>43</v>
      </c>
      <c r="L271" s="33">
        <v>0</v>
      </c>
      <c r="M271" s="33" t="s">
        <v>496</v>
      </c>
      <c r="N271" s="33" t="s">
        <v>497</v>
      </c>
      <c r="AK271" s="62"/>
    </row>
    <row r="272" spans="1:37">
      <c r="A272" s="335">
        <v>265</v>
      </c>
      <c r="B272" s="39" t="str">
        <f t="shared" si="48"/>
        <v>α lyr</v>
      </c>
      <c r="C272" s="39" t="str">
        <f t="shared" si="49"/>
        <v>μ 57</v>
      </c>
      <c r="F272" s="25" t="s">
        <v>2037</v>
      </c>
      <c r="G272" s="33">
        <v>1</v>
      </c>
      <c r="H272" s="33">
        <v>25</v>
      </c>
      <c r="I272" s="33">
        <v>49</v>
      </c>
      <c r="J272" s="33">
        <v>60</v>
      </c>
      <c r="K272" s="33">
        <v>14</v>
      </c>
      <c r="L272" s="33">
        <v>7</v>
      </c>
      <c r="M272" s="33" t="s">
        <v>498</v>
      </c>
      <c r="N272" s="33" t="s">
        <v>499</v>
      </c>
      <c r="AK272" s="62"/>
    </row>
    <row r="273" spans="1:37">
      <c r="A273" s="335">
        <v>266</v>
      </c>
      <c r="B273" s="39" t="str">
        <f t="shared" si="48"/>
        <v>α lyr</v>
      </c>
      <c r="C273" s="39" t="str">
        <f t="shared" si="49"/>
        <v>μ 57</v>
      </c>
      <c r="F273" s="25" t="s">
        <v>2038</v>
      </c>
      <c r="G273" s="33">
        <v>1</v>
      </c>
      <c r="H273" s="33">
        <v>54</v>
      </c>
      <c r="I273" s="33">
        <v>23.7</v>
      </c>
      <c r="J273" s="33">
        <v>63</v>
      </c>
      <c r="K273" s="33">
        <v>40</v>
      </c>
      <c r="L273" s="33">
        <v>12</v>
      </c>
      <c r="M273" s="33" t="s">
        <v>500</v>
      </c>
      <c r="N273" s="33" t="s">
        <v>501</v>
      </c>
      <c r="AK273" s="62"/>
    </row>
    <row r="274" spans="1:37">
      <c r="A274" s="335">
        <v>267</v>
      </c>
      <c r="B274" s="39" t="str">
        <f t="shared" si="48"/>
        <v>α lyr</v>
      </c>
      <c r="C274" s="39" t="str">
        <f t="shared" si="49"/>
        <v>μ 57</v>
      </c>
      <c r="F274" s="25" t="s">
        <v>2039</v>
      </c>
      <c r="G274" s="33">
        <v>0</v>
      </c>
      <c r="H274" s="33">
        <v>49</v>
      </c>
      <c r="I274" s="33">
        <v>6.3</v>
      </c>
      <c r="J274" s="33">
        <v>57</v>
      </c>
      <c r="K274" s="33">
        <v>48</v>
      </c>
      <c r="L274" s="33">
        <v>55</v>
      </c>
      <c r="M274" s="33" t="s">
        <v>502</v>
      </c>
      <c r="N274" s="33" t="s">
        <v>503</v>
      </c>
      <c r="AK274" s="62"/>
    </row>
    <row r="275" spans="1:37">
      <c r="A275" s="335">
        <v>268</v>
      </c>
      <c r="B275" s="39" t="str">
        <f t="shared" si="48"/>
        <v>α lyr</v>
      </c>
      <c r="C275" s="39" t="str">
        <f t="shared" si="49"/>
        <v>μ 57</v>
      </c>
      <c r="F275" s="25" t="s">
        <v>2040</v>
      </c>
      <c r="G275" s="33">
        <v>2</v>
      </c>
      <c r="H275" s="33">
        <v>29</v>
      </c>
      <c r="I275" s="33">
        <v>3.9</v>
      </c>
      <c r="J275" s="33">
        <v>67</v>
      </c>
      <c r="K275" s="33">
        <v>24</v>
      </c>
      <c r="L275" s="33">
        <v>9</v>
      </c>
      <c r="M275" s="33" t="s">
        <v>504</v>
      </c>
      <c r="N275" s="33" t="s">
        <v>505</v>
      </c>
      <c r="AK275" s="62"/>
    </row>
    <row r="276" spans="1:37">
      <c r="A276" s="335">
        <v>269</v>
      </c>
      <c r="B276" s="39" t="str">
        <f t="shared" si="48"/>
        <v>α lyr</v>
      </c>
      <c r="C276" s="39" t="str">
        <f t="shared" si="49"/>
        <v>μ 57</v>
      </c>
      <c r="F276" s="25" t="s">
        <v>2041</v>
      </c>
      <c r="G276" s="33">
        <v>0</v>
      </c>
      <c r="H276" s="33">
        <v>33</v>
      </c>
      <c r="I276" s="33">
        <v>0</v>
      </c>
      <c r="J276" s="33">
        <v>62</v>
      </c>
      <c r="K276" s="33">
        <v>55</v>
      </c>
      <c r="L276" s="33">
        <v>54</v>
      </c>
      <c r="M276" s="33" t="s">
        <v>506</v>
      </c>
      <c r="N276" s="33" t="s">
        <v>507</v>
      </c>
      <c r="AK276" s="62"/>
    </row>
    <row r="277" spans="1:37">
      <c r="A277" s="335">
        <v>270</v>
      </c>
      <c r="B277" s="39" t="str">
        <f t="shared" si="48"/>
        <v>α lyr</v>
      </c>
      <c r="C277" s="39" t="str">
        <f t="shared" si="49"/>
        <v>μ 57</v>
      </c>
      <c r="F277" s="25" t="s">
        <v>2042</v>
      </c>
      <c r="G277" s="33">
        <v>0</v>
      </c>
      <c r="H277" s="33">
        <v>44</v>
      </c>
      <c r="I277" s="33">
        <v>43.6</v>
      </c>
      <c r="J277" s="33">
        <v>48</v>
      </c>
      <c r="K277" s="33">
        <v>17</v>
      </c>
      <c r="L277" s="33">
        <v>4</v>
      </c>
      <c r="M277" s="33" t="s">
        <v>508</v>
      </c>
      <c r="N277" s="33" t="s">
        <v>509</v>
      </c>
      <c r="AK277" s="62"/>
    </row>
    <row r="278" spans="1:37">
      <c r="A278" s="335">
        <v>271</v>
      </c>
      <c r="B278" s="39" t="str">
        <f t="shared" si="48"/>
        <v>α lyr</v>
      </c>
      <c r="C278" s="39" t="str">
        <f t="shared" si="49"/>
        <v>μ 57</v>
      </c>
      <c r="F278" s="27" t="s">
        <v>2043</v>
      </c>
      <c r="G278" s="26"/>
      <c r="H278" s="26"/>
      <c r="I278" s="26"/>
      <c r="J278" s="26"/>
      <c r="K278" s="26"/>
      <c r="L278" s="26"/>
      <c r="M278" s="26" t="s">
        <v>510</v>
      </c>
      <c r="N278" s="26" t="s">
        <v>511</v>
      </c>
    </row>
    <row r="279" spans="1:37">
      <c r="A279" s="335">
        <v>272</v>
      </c>
      <c r="B279" s="39" t="str">
        <f t="shared" si="48"/>
        <v>α lyr</v>
      </c>
      <c r="C279" s="39" t="str">
        <f t="shared" si="49"/>
        <v>μ 57</v>
      </c>
      <c r="F279" s="25" t="s">
        <v>2044</v>
      </c>
      <c r="G279" s="22">
        <v>14</v>
      </c>
      <c r="H279" s="22">
        <v>6</v>
      </c>
      <c r="I279" s="22">
        <v>40.9</v>
      </c>
      <c r="J279" s="22">
        <v>-36</v>
      </c>
      <c r="K279" s="22">
        <v>-22</v>
      </c>
      <c r="L279" s="22">
        <v>-12</v>
      </c>
      <c r="M279" s="22" t="s">
        <v>512</v>
      </c>
      <c r="N279" s="22" t="s">
        <v>513</v>
      </c>
    </row>
    <row r="280" spans="1:37">
      <c r="A280" s="335">
        <v>273</v>
      </c>
      <c r="B280" s="39" t="str">
        <f t="shared" si="48"/>
        <v>α lyr</v>
      </c>
      <c r="C280" s="39" t="str">
        <f t="shared" si="49"/>
        <v>μ 57</v>
      </c>
      <c r="F280" s="25" t="s">
        <v>2045</v>
      </c>
      <c r="G280" s="22">
        <v>13</v>
      </c>
      <c r="H280" s="22">
        <v>20</v>
      </c>
      <c r="I280" s="22">
        <v>35.799999999999997</v>
      </c>
      <c r="J280" s="22">
        <v>-36</v>
      </c>
      <c r="K280" s="22">
        <v>-42</v>
      </c>
      <c r="L280" s="22">
        <v>-44</v>
      </c>
      <c r="M280" s="22" t="s">
        <v>514</v>
      </c>
      <c r="N280" s="22" t="s">
        <v>515</v>
      </c>
    </row>
    <row r="281" spans="1:37">
      <c r="A281" s="335">
        <v>274</v>
      </c>
      <c r="B281" s="39" t="str">
        <f t="shared" si="48"/>
        <v>α lyr</v>
      </c>
      <c r="C281" s="39" t="str">
        <f t="shared" si="49"/>
        <v>μ 57</v>
      </c>
      <c r="F281" s="27" t="s">
        <v>2046</v>
      </c>
      <c r="G281" s="26"/>
      <c r="H281" s="26"/>
      <c r="I281" s="26"/>
      <c r="J281" s="26"/>
      <c r="K281" s="26"/>
      <c r="L281" s="26"/>
      <c r="M281" s="26" t="s">
        <v>516</v>
      </c>
      <c r="N281" s="26" t="s">
        <v>517</v>
      </c>
    </row>
    <row r="282" spans="1:37">
      <c r="A282" s="335">
        <v>275</v>
      </c>
      <c r="B282" s="39" t="str">
        <f t="shared" si="48"/>
        <v>α lyr</v>
      </c>
      <c r="C282" s="39" t="str">
        <f t="shared" si="49"/>
        <v>μ 57</v>
      </c>
      <c r="F282" s="25" t="s">
        <v>2047</v>
      </c>
      <c r="G282" s="22">
        <v>3</v>
      </c>
      <c r="H282" s="22">
        <v>2</v>
      </c>
      <c r="I282" s="22">
        <v>16.8</v>
      </c>
      <c r="J282" s="22">
        <v>4</v>
      </c>
      <c r="K282" s="22">
        <v>5</v>
      </c>
      <c r="L282" s="22">
        <v>23</v>
      </c>
      <c r="M282" s="22" t="s">
        <v>518</v>
      </c>
      <c r="N282" s="22" t="s">
        <v>519</v>
      </c>
    </row>
    <row r="283" spans="1:37">
      <c r="A283" s="335">
        <v>276</v>
      </c>
      <c r="B283" s="39" t="str">
        <f t="shared" si="48"/>
        <v>α lyr</v>
      </c>
      <c r="C283" s="39" t="str">
        <f t="shared" si="49"/>
        <v>μ 57</v>
      </c>
      <c r="F283" s="25" t="s">
        <v>2048</v>
      </c>
      <c r="G283" s="22">
        <v>0</v>
      </c>
      <c r="H283" s="22">
        <v>43</v>
      </c>
      <c r="I283" s="22">
        <v>35.4</v>
      </c>
      <c r="J283" s="22">
        <v>-17</v>
      </c>
      <c r="K283" s="22">
        <v>-59</v>
      </c>
      <c r="L283" s="22">
        <v>-12</v>
      </c>
      <c r="M283" s="22" t="s">
        <v>520</v>
      </c>
      <c r="N283" s="22" t="s">
        <v>521</v>
      </c>
    </row>
    <row r="284" spans="1:37">
      <c r="A284" s="335">
        <v>277</v>
      </c>
      <c r="B284" s="39" t="str">
        <f t="shared" si="48"/>
        <v>α lyr</v>
      </c>
      <c r="C284" s="39" t="str">
        <f t="shared" si="49"/>
        <v>μ 57</v>
      </c>
      <c r="F284" s="25" t="s">
        <v>2049</v>
      </c>
      <c r="G284" s="22">
        <v>2</v>
      </c>
      <c r="H284" s="22">
        <v>43</v>
      </c>
      <c r="I284" s="22">
        <v>18</v>
      </c>
      <c r="J284" s="22">
        <v>3</v>
      </c>
      <c r="K284" s="22">
        <v>14</v>
      </c>
      <c r="L284" s="22">
        <v>9</v>
      </c>
      <c r="M284" s="22" t="s">
        <v>522</v>
      </c>
      <c r="N284" s="22" t="s">
        <v>523</v>
      </c>
    </row>
    <row r="285" spans="1:37">
      <c r="A285" s="335">
        <v>278</v>
      </c>
      <c r="B285" s="39" t="str">
        <f t="shared" si="48"/>
        <v>α lyr</v>
      </c>
      <c r="C285" s="39" t="str">
        <f t="shared" si="49"/>
        <v>μ 57</v>
      </c>
      <c r="F285" s="25" t="s">
        <v>2050</v>
      </c>
      <c r="G285" s="22">
        <v>2</v>
      </c>
      <c r="H285" s="22">
        <v>39</v>
      </c>
      <c r="I285" s="22">
        <v>29</v>
      </c>
      <c r="J285" s="22">
        <v>0</v>
      </c>
      <c r="K285" s="22">
        <v>19</v>
      </c>
      <c r="L285" s="22">
        <v>43</v>
      </c>
      <c r="M285" s="22" t="s">
        <v>524</v>
      </c>
      <c r="N285" s="22" t="s">
        <v>525</v>
      </c>
    </row>
    <row r="286" spans="1:37">
      <c r="A286" s="335">
        <v>279</v>
      </c>
      <c r="B286" s="39" t="str">
        <f t="shared" si="48"/>
        <v>α lyr</v>
      </c>
      <c r="C286" s="39" t="str">
        <f t="shared" si="49"/>
        <v>μ 57</v>
      </c>
      <c r="F286" s="25" t="s">
        <v>2051</v>
      </c>
      <c r="G286" s="42">
        <v>1</v>
      </c>
      <c r="H286" s="42">
        <v>51</v>
      </c>
      <c r="I286" s="42">
        <v>27.6</v>
      </c>
      <c r="J286" s="42">
        <v>-10</v>
      </c>
      <c r="K286" s="42">
        <v>-20</v>
      </c>
      <c r="L286" s="42">
        <v>-6</v>
      </c>
      <c r="M286" s="22" t="s">
        <v>526</v>
      </c>
      <c r="N286" s="22" t="s">
        <v>527</v>
      </c>
    </row>
    <row r="287" spans="1:37">
      <c r="A287" s="335">
        <v>280</v>
      </c>
      <c r="B287" s="39" t="str">
        <f t="shared" si="48"/>
        <v>α lyr</v>
      </c>
      <c r="C287" s="39" t="str">
        <f t="shared" si="49"/>
        <v>μ 57</v>
      </c>
      <c r="F287" s="25" t="s">
        <v>2052</v>
      </c>
      <c r="G287" s="22">
        <v>1</v>
      </c>
      <c r="H287" s="22">
        <v>8</v>
      </c>
      <c r="I287" s="22">
        <v>35.4</v>
      </c>
      <c r="J287" s="22">
        <v>-10</v>
      </c>
      <c r="K287" s="22">
        <v>-10</v>
      </c>
      <c r="L287" s="22">
        <v>-56</v>
      </c>
      <c r="M287" s="22" t="s">
        <v>528</v>
      </c>
      <c r="N287" s="22" t="s">
        <v>529</v>
      </c>
    </row>
    <row r="288" spans="1:37">
      <c r="A288" s="335">
        <v>281</v>
      </c>
      <c r="B288" s="39" t="str">
        <f t="shared" si="48"/>
        <v>α lyr</v>
      </c>
      <c r="C288" s="39" t="str">
        <f t="shared" si="49"/>
        <v>μ 57</v>
      </c>
      <c r="F288" s="25" t="s">
        <v>2053</v>
      </c>
      <c r="G288" s="22">
        <v>1</v>
      </c>
      <c r="H288" s="22">
        <v>24</v>
      </c>
      <c r="I288" s="22">
        <v>1.4</v>
      </c>
      <c r="J288" s="22">
        <v>-8</v>
      </c>
      <c r="K288" s="22">
        <v>-11</v>
      </c>
      <c r="L288" s="22">
        <v>0</v>
      </c>
      <c r="M288" s="22" t="s">
        <v>530</v>
      </c>
      <c r="N288" s="22" t="s">
        <v>531</v>
      </c>
    </row>
    <row r="289" spans="1:14">
      <c r="A289" s="335">
        <v>282</v>
      </c>
      <c r="B289" s="39" t="str">
        <f t="shared" si="48"/>
        <v>α lyr</v>
      </c>
      <c r="C289" s="39" t="str">
        <f t="shared" si="49"/>
        <v>μ 57</v>
      </c>
      <c r="F289" s="25" t="s">
        <v>2054</v>
      </c>
      <c r="G289" s="22">
        <v>0</v>
      </c>
      <c r="H289" s="22">
        <v>19</v>
      </c>
      <c r="I289" s="22">
        <v>25.7</v>
      </c>
      <c r="J289" s="22">
        <v>-8</v>
      </c>
      <c r="K289" s="22">
        <v>-49</v>
      </c>
      <c r="L289" s="22">
        <v>-26</v>
      </c>
      <c r="M289" s="22" t="s">
        <v>532</v>
      </c>
      <c r="N289" s="22" t="s">
        <v>533</v>
      </c>
    </row>
    <row r="290" spans="1:14">
      <c r="A290" s="335">
        <v>283</v>
      </c>
      <c r="B290" s="39" t="str">
        <f t="shared" si="48"/>
        <v>α lyr</v>
      </c>
      <c r="C290" s="39" t="str">
        <f t="shared" si="49"/>
        <v>μ 57</v>
      </c>
      <c r="F290" s="25" t="s">
        <v>2055</v>
      </c>
      <c r="G290" s="22">
        <v>2</v>
      </c>
      <c r="H290" s="22">
        <v>19</v>
      </c>
      <c r="I290" s="22">
        <v>20.8</v>
      </c>
      <c r="J290" s="22">
        <v>-2</v>
      </c>
      <c r="K290" s="22">
        <v>-58</v>
      </c>
      <c r="L290" s="22">
        <v>-39</v>
      </c>
      <c r="M290" s="22" t="s">
        <v>534</v>
      </c>
      <c r="N290" s="22" t="s">
        <v>535</v>
      </c>
    </row>
    <row r="291" spans="1:14">
      <c r="A291" s="335">
        <v>284</v>
      </c>
      <c r="B291" s="39" t="str">
        <f t="shared" si="48"/>
        <v>α lyr</v>
      </c>
      <c r="C291" s="39" t="str">
        <f t="shared" si="49"/>
        <v>μ 57</v>
      </c>
      <c r="F291" s="25" t="s">
        <v>2056</v>
      </c>
      <c r="G291" s="22">
        <v>2</v>
      </c>
      <c r="H291" s="22">
        <v>44</v>
      </c>
      <c r="I291" s="22">
        <v>7.3</v>
      </c>
      <c r="J291" s="22">
        <v>-13</v>
      </c>
      <c r="K291" s="22">
        <v>-51</v>
      </c>
      <c r="L291" s="22">
        <v>-31</v>
      </c>
      <c r="M291" s="22" t="s">
        <v>536</v>
      </c>
      <c r="N291" s="22" t="s">
        <v>537</v>
      </c>
    </row>
    <row r="292" spans="1:14">
      <c r="A292" s="335">
        <v>285</v>
      </c>
      <c r="B292" s="39" t="str">
        <f t="shared" si="48"/>
        <v>α lyr</v>
      </c>
      <c r="C292" s="39" t="str">
        <f t="shared" si="49"/>
        <v>μ 57</v>
      </c>
      <c r="F292" s="25" t="s">
        <v>2057</v>
      </c>
      <c r="G292" s="22">
        <v>1</v>
      </c>
      <c r="H292" s="22">
        <v>44</v>
      </c>
      <c r="I292" s="22">
        <v>4.0999999999999996</v>
      </c>
      <c r="J292" s="22">
        <v>-15</v>
      </c>
      <c r="K292" s="22">
        <v>-56</v>
      </c>
      <c r="L292" s="22">
        <v>-15</v>
      </c>
      <c r="M292" s="22" t="s">
        <v>538</v>
      </c>
      <c r="N292" s="22" t="s">
        <v>539</v>
      </c>
    </row>
    <row r="293" spans="1:14">
      <c r="A293" s="335">
        <v>286</v>
      </c>
      <c r="B293" s="39" t="str">
        <f t="shared" si="48"/>
        <v>α lyr</v>
      </c>
      <c r="C293" s="39" t="str">
        <f t="shared" si="49"/>
        <v>μ 57</v>
      </c>
      <c r="F293" s="25" t="s">
        <v>2058</v>
      </c>
      <c r="G293" s="22">
        <v>2</v>
      </c>
      <c r="H293" s="22">
        <v>0</v>
      </c>
      <c r="I293" s="22">
        <v>0.3</v>
      </c>
      <c r="J293" s="22">
        <v>-21</v>
      </c>
      <c r="K293" s="22">
        <v>-4</v>
      </c>
      <c r="L293" s="22">
        <v>-40</v>
      </c>
      <c r="M293" s="22" t="s">
        <v>540</v>
      </c>
      <c r="N293" s="22" t="s">
        <v>541</v>
      </c>
    </row>
    <row r="294" spans="1:14">
      <c r="A294" s="335">
        <v>287</v>
      </c>
      <c r="B294" s="39" t="str">
        <f t="shared" si="48"/>
        <v>α lyr</v>
      </c>
      <c r="C294" s="39" t="str">
        <f t="shared" si="49"/>
        <v>μ 57</v>
      </c>
      <c r="F294" s="27" t="s">
        <v>2059</v>
      </c>
      <c r="G294" s="26"/>
      <c r="H294" s="26"/>
      <c r="I294" s="26"/>
      <c r="J294" s="26"/>
      <c r="K294" s="26"/>
      <c r="L294" s="26"/>
      <c r="M294" s="26" t="s">
        <v>542</v>
      </c>
      <c r="N294" s="26" t="s">
        <v>543</v>
      </c>
    </row>
    <row r="295" spans="1:14">
      <c r="A295" s="335">
        <v>288</v>
      </c>
      <c r="B295" s="39" t="str">
        <f t="shared" si="48"/>
        <v>α lyr</v>
      </c>
      <c r="C295" s="39" t="str">
        <f t="shared" si="49"/>
        <v>μ 57</v>
      </c>
      <c r="F295" s="25" t="s">
        <v>2060</v>
      </c>
      <c r="G295" s="22">
        <v>21</v>
      </c>
      <c r="H295" s="22">
        <v>18</v>
      </c>
      <c r="I295" s="22">
        <v>34.799999999999997</v>
      </c>
      <c r="J295" s="22">
        <v>62</v>
      </c>
      <c r="K295" s="22">
        <v>35</v>
      </c>
      <c r="L295" s="22">
        <v>8</v>
      </c>
      <c r="M295" s="22" t="s">
        <v>544</v>
      </c>
      <c r="N295" s="22" t="s">
        <v>545</v>
      </c>
    </row>
    <row r="296" spans="1:14">
      <c r="A296" s="335">
        <v>289</v>
      </c>
      <c r="B296" s="39" t="str">
        <f t="shared" si="48"/>
        <v>α lyr</v>
      </c>
      <c r="C296" s="39" t="str">
        <f t="shared" si="49"/>
        <v>μ 57</v>
      </c>
      <c r="F296" s="25" t="s">
        <v>2061</v>
      </c>
      <c r="G296" s="22">
        <v>21</v>
      </c>
      <c r="H296" s="22">
        <v>28</v>
      </c>
      <c r="I296" s="22">
        <v>39.6</v>
      </c>
      <c r="J296" s="22">
        <v>70</v>
      </c>
      <c r="K296" s="22">
        <v>33</v>
      </c>
      <c r="L296" s="22">
        <v>39</v>
      </c>
      <c r="M296" s="22" t="s">
        <v>546</v>
      </c>
      <c r="N296" s="22" t="s">
        <v>547</v>
      </c>
    </row>
    <row r="297" spans="1:14">
      <c r="A297" s="335">
        <v>290</v>
      </c>
      <c r="B297" s="39" t="str">
        <f t="shared" si="48"/>
        <v>α lyr</v>
      </c>
      <c r="C297" s="39" t="str">
        <f t="shared" si="49"/>
        <v>μ 57</v>
      </c>
      <c r="F297" s="25" t="s">
        <v>2062</v>
      </c>
      <c r="G297" s="22">
        <v>23</v>
      </c>
      <c r="H297" s="22">
        <v>39</v>
      </c>
      <c r="I297" s="22">
        <v>20.9</v>
      </c>
      <c r="J297" s="22">
        <v>77</v>
      </c>
      <c r="K297" s="22">
        <v>37</v>
      </c>
      <c r="L297" s="22">
        <v>57</v>
      </c>
      <c r="M297" s="22" t="s">
        <v>548</v>
      </c>
      <c r="N297" s="22" t="s">
        <v>549</v>
      </c>
    </row>
    <row r="298" spans="1:14">
      <c r="A298" s="335">
        <v>291</v>
      </c>
      <c r="B298" s="39" t="str">
        <f t="shared" si="48"/>
        <v>α lyr</v>
      </c>
      <c r="C298" s="39" t="str">
        <f t="shared" si="49"/>
        <v>μ 57</v>
      </c>
      <c r="F298" s="25" t="s">
        <v>2063</v>
      </c>
      <c r="G298" s="22">
        <v>22</v>
      </c>
      <c r="H298" s="22">
        <v>29</v>
      </c>
      <c r="I298" s="22">
        <v>10.3</v>
      </c>
      <c r="J298" s="22">
        <v>58</v>
      </c>
      <c r="K298" s="22">
        <v>24</v>
      </c>
      <c r="L298" s="22">
        <v>55</v>
      </c>
      <c r="M298" s="22" t="s">
        <v>550</v>
      </c>
      <c r="N298" s="22" t="s">
        <v>551</v>
      </c>
    </row>
    <row r="299" spans="1:14">
      <c r="A299" s="335">
        <v>292</v>
      </c>
      <c r="B299" s="39" t="str">
        <f t="shared" si="48"/>
        <v>α lyr</v>
      </c>
      <c r="C299" s="39" t="str">
        <f t="shared" si="49"/>
        <v>μ 57</v>
      </c>
      <c r="F299" s="25" t="s">
        <v>2064</v>
      </c>
      <c r="G299" s="22">
        <v>22</v>
      </c>
      <c r="H299" s="22">
        <v>15</v>
      </c>
      <c r="I299" s="22">
        <v>2</v>
      </c>
      <c r="J299" s="22">
        <v>57</v>
      </c>
      <c r="K299" s="22">
        <v>2</v>
      </c>
      <c r="L299" s="22">
        <v>37</v>
      </c>
      <c r="M299" s="22" t="s">
        <v>552</v>
      </c>
      <c r="N299" s="22" t="s">
        <v>553</v>
      </c>
    </row>
    <row r="300" spans="1:14">
      <c r="A300" s="335">
        <v>293</v>
      </c>
      <c r="B300" s="39" t="str">
        <f t="shared" si="48"/>
        <v>α lyr</v>
      </c>
      <c r="C300" s="39" t="str">
        <f t="shared" si="49"/>
        <v>μ 57</v>
      </c>
      <c r="F300" s="25" t="s">
        <v>2065</v>
      </c>
      <c r="G300" s="22">
        <v>22</v>
      </c>
      <c r="H300" s="22">
        <v>10</v>
      </c>
      <c r="I300" s="22">
        <v>51.3</v>
      </c>
      <c r="J300" s="22">
        <v>58</v>
      </c>
      <c r="K300" s="22">
        <v>12</v>
      </c>
      <c r="L300" s="22">
        <v>4</v>
      </c>
      <c r="M300" s="22" t="s">
        <v>554</v>
      </c>
      <c r="N300" s="22" t="s">
        <v>555</v>
      </c>
    </row>
    <row r="301" spans="1:14">
      <c r="A301" s="335">
        <v>294</v>
      </c>
      <c r="B301" s="39" t="str">
        <f t="shared" si="48"/>
        <v>α lyr</v>
      </c>
      <c r="C301" s="39" t="str">
        <f t="shared" si="49"/>
        <v>μ 57</v>
      </c>
      <c r="F301" s="25" t="s">
        <v>2066</v>
      </c>
      <c r="G301" s="22">
        <v>20</v>
      </c>
      <c r="H301" s="22">
        <v>45</v>
      </c>
      <c r="I301" s="22">
        <v>17.399999999999999</v>
      </c>
      <c r="J301" s="22">
        <v>61</v>
      </c>
      <c r="K301" s="22">
        <v>50</v>
      </c>
      <c r="L301" s="22">
        <v>20</v>
      </c>
      <c r="M301" s="22" t="s">
        <v>556</v>
      </c>
      <c r="N301" s="22" t="s">
        <v>557</v>
      </c>
    </row>
    <row r="302" spans="1:14">
      <c r="A302" s="335">
        <v>295</v>
      </c>
      <c r="B302" s="39" t="str">
        <f t="shared" si="48"/>
        <v>α lyr</v>
      </c>
      <c r="C302" s="39" t="str">
        <f t="shared" si="49"/>
        <v>μ 57</v>
      </c>
      <c r="F302" s="25" t="s">
        <v>2067</v>
      </c>
      <c r="G302" s="22">
        <v>20</v>
      </c>
      <c r="H302" s="22">
        <v>29</v>
      </c>
      <c r="I302" s="22">
        <v>34.9</v>
      </c>
      <c r="J302" s="22">
        <v>62</v>
      </c>
      <c r="K302" s="22">
        <v>59</v>
      </c>
      <c r="L302" s="22">
        <v>39</v>
      </c>
      <c r="M302" s="22" t="s">
        <v>558</v>
      </c>
      <c r="N302" s="22" t="s">
        <v>559</v>
      </c>
    </row>
    <row r="303" spans="1:14">
      <c r="A303" s="335">
        <v>296</v>
      </c>
      <c r="B303" s="39" t="str">
        <f t="shared" si="48"/>
        <v>α lyr</v>
      </c>
      <c r="C303" s="39" t="str">
        <f t="shared" si="49"/>
        <v>μ 57</v>
      </c>
      <c r="F303" s="25" t="s">
        <v>2068</v>
      </c>
      <c r="G303" s="22">
        <v>22</v>
      </c>
      <c r="H303" s="22">
        <v>49</v>
      </c>
      <c r="I303" s="22">
        <v>40.799999999999997</v>
      </c>
      <c r="J303" s="22">
        <v>66</v>
      </c>
      <c r="K303" s="22">
        <v>12</v>
      </c>
      <c r="L303" s="22">
        <v>1</v>
      </c>
      <c r="M303" s="22" t="s">
        <v>560</v>
      </c>
      <c r="N303" s="22" t="s">
        <v>561</v>
      </c>
    </row>
    <row r="304" spans="1:14">
      <c r="A304" s="335">
        <v>297</v>
      </c>
      <c r="B304" s="39" t="str">
        <f t="shared" si="48"/>
        <v>α lyr</v>
      </c>
      <c r="C304" s="39" t="str">
        <f t="shared" si="49"/>
        <v>μ 57</v>
      </c>
      <c r="F304" s="25" t="s">
        <v>2069</v>
      </c>
      <c r="G304" s="22">
        <v>21</v>
      </c>
      <c r="H304" s="22">
        <v>43</v>
      </c>
      <c r="I304" s="22">
        <v>30.4</v>
      </c>
      <c r="J304" s="22">
        <v>58</v>
      </c>
      <c r="K304" s="22">
        <v>46</v>
      </c>
      <c r="L304" s="22">
        <v>48</v>
      </c>
      <c r="M304" s="22" t="s">
        <v>562</v>
      </c>
      <c r="N304" s="22" t="s">
        <v>563</v>
      </c>
    </row>
    <row r="305" spans="1:14">
      <c r="A305" s="335">
        <v>298</v>
      </c>
      <c r="B305" s="39" t="str">
        <f t="shared" si="48"/>
        <v>α lyr</v>
      </c>
      <c r="C305" s="39" t="str">
        <f t="shared" si="49"/>
        <v>μ 57</v>
      </c>
      <c r="F305" s="25" t="s">
        <v>2070</v>
      </c>
      <c r="G305" s="22">
        <v>22</v>
      </c>
      <c r="H305" s="22">
        <v>3</v>
      </c>
      <c r="I305" s="22">
        <v>47.4</v>
      </c>
      <c r="J305" s="22">
        <v>64</v>
      </c>
      <c r="K305" s="22">
        <v>37</v>
      </c>
      <c r="L305" s="22">
        <v>40</v>
      </c>
      <c r="M305" s="22" t="s">
        <v>564</v>
      </c>
      <c r="N305" s="22" t="s">
        <v>565</v>
      </c>
    </row>
    <row r="306" spans="1:14">
      <c r="A306" s="335">
        <v>299</v>
      </c>
      <c r="B306" s="39" t="str">
        <f t="shared" si="48"/>
        <v>α lyr</v>
      </c>
      <c r="C306" s="39" t="str">
        <f t="shared" si="49"/>
        <v>μ 57</v>
      </c>
      <c r="F306" s="27" t="s">
        <v>2071</v>
      </c>
      <c r="G306" s="26"/>
      <c r="H306" s="26"/>
      <c r="I306" s="26"/>
      <c r="J306" s="26"/>
      <c r="K306" s="26"/>
      <c r="L306" s="26"/>
      <c r="M306" s="26" t="s">
        <v>566</v>
      </c>
      <c r="N306" s="30" t="s">
        <v>567</v>
      </c>
    </row>
    <row r="307" spans="1:14">
      <c r="A307" s="335">
        <v>300</v>
      </c>
      <c r="B307" s="39" t="str">
        <f t="shared" si="48"/>
        <v>α lyr</v>
      </c>
      <c r="C307" s="39" t="str">
        <f t="shared" si="49"/>
        <v>μ 57</v>
      </c>
      <c r="F307" s="25" t="s">
        <v>2072</v>
      </c>
      <c r="G307" s="22">
        <v>6</v>
      </c>
      <c r="H307" s="22">
        <v>45</v>
      </c>
      <c r="I307" s="22">
        <v>8.9</v>
      </c>
      <c r="J307" s="22">
        <v>-16</v>
      </c>
      <c r="K307" s="22">
        <v>-42</v>
      </c>
      <c r="L307" s="22">
        <v>-58</v>
      </c>
      <c r="M307" s="22" t="s">
        <v>568</v>
      </c>
      <c r="N307" s="23" t="s">
        <v>569</v>
      </c>
    </row>
    <row r="308" spans="1:14">
      <c r="A308" s="335">
        <v>301</v>
      </c>
      <c r="B308" s="39" t="str">
        <f t="shared" si="48"/>
        <v>α lyr</v>
      </c>
      <c r="C308" s="39" t="str">
        <f t="shared" si="49"/>
        <v>μ 57</v>
      </c>
      <c r="F308" s="25" t="s">
        <v>2073</v>
      </c>
      <c r="G308" s="22">
        <v>6</v>
      </c>
      <c r="H308" s="22">
        <v>22</v>
      </c>
      <c r="I308" s="22">
        <v>42</v>
      </c>
      <c r="J308" s="22">
        <v>-17</v>
      </c>
      <c r="K308" s="22">
        <v>-57</v>
      </c>
      <c r="L308" s="22">
        <v>-21</v>
      </c>
      <c r="M308" s="22" t="s">
        <v>570</v>
      </c>
      <c r="N308" s="23" t="s">
        <v>571</v>
      </c>
    </row>
    <row r="309" spans="1:14">
      <c r="A309" s="335">
        <v>302</v>
      </c>
      <c r="B309" s="39" t="str">
        <f t="shared" si="48"/>
        <v>α lyr</v>
      </c>
      <c r="C309" s="39" t="str">
        <f t="shared" si="49"/>
        <v>μ 57</v>
      </c>
      <c r="F309" s="25" t="s">
        <v>2074</v>
      </c>
      <c r="G309" s="22">
        <v>7</v>
      </c>
      <c r="H309" s="22">
        <v>8</v>
      </c>
      <c r="I309" s="22">
        <v>23.5</v>
      </c>
      <c r="J309" s="22">
        <v>-26</v>
      </c>
      <c r="K309" s="22">
        <v>-23</v>
      </c>
      <c r="L309" s="22">
        <v>-36</v>
      </c>
      <c r="M309" s="22" t="s">
        <v>572</v>
      </c>
      <c r="N309" s="23" t="s">
        <v>573</v>
      </c>
    </row>
    <row r="310" spans="1:14">
      <c r="A310" s="335">
        <v>303</v>
      </c>
      <c r="B310" s="39" t="str">
        <f t="shared" si="48"/>
        <v>α lyr</v>
      </c>
      <c r="C310" s="39" t="str">
        <f t="shared" si="49"/>
        <v>μ 57</v>
      </c>
      <c r="F310" s="25" t="s">
        <v>2075</v>
      </c>
      <c r="G310" s="22">
        <v>6</v>
      </c>
      <c r="H310" s="22">
        <v>58</v>
      </c>
      <c r="I310" s="22">
        <v>37.6</v>
      </c>
      <c r="J310" s="22">
        <v>-28</v>
      </c>
      <c r="K310" s="22">
        <v>-58</v>
      </c>
      <c r="L310" s="22">
        <v>-20</v>
      </c>
      <c r="M310" s="22" t="s">
        <v>574</v>
      </c>
      <c r="N310" s="23" t="s">
        <v>575</v>
      </c>
    </row>
    <row r="311" spans="1:14">
      <c r="A311" s="335">
        <v>304</v>
      </c>
      <c r="B311" s="39" t="str">
        <f t="shared" si="48"/>
        <v>α lyr</v>
      </c>
      <c r="C311" s="39" t="str">
        <f t="shared" si="49"/>
        <v>μ 57</v>
      </c>
      <c r="F311" s="25" t="s">
        <v>2076</v>
      </c>
      <c r="G311" s="22">
        <v>6</v>
      </c>
      <c r="H311" s="22">
        <v>20</v>
      </c>
      <c r="I311" s="22">
        <v>18.8</v>
      </c>
      <c r="J311" s="22">
        <v>-30</v>
      </c>
      <c r="K311" s="22">
        <v>-3</v>
      </c>
      <c r="L311" s="22">
        <v>-48</v>
      </c>
      <c r="M311" s="22" t="s">
        <v>576</v>
      </c>
      <c r="N311" s="23" t="s">
        <v>577</v>
      </c>
    </row>
    <row r="312" spans="1:14">
      <c r="A312" s="335">
        <v>305</v>
      </c>
      <c r="B312" s="39" t="str">
        <f t="shared" si="48"/>
        <v>α lyr</v>
      </c>
      <c r="C312" s="39" t="str">
        <f t="shared" si="49"/>
        <v>μ 57</v>
      </c>
      <c r="F312" s="25" t="s">
        <v>2077</v>
      </c>
      <c r="G312" s="22">
        <v>7</v>
      </c>
      <c r="H312" s="22">
        <v>24</v>
      </c>
      <c r="I312" s="22">
        <v>5.7</v>
      </c>
      <c r="J312" s="22">
        <v>-29</v>
      </c>
      <c r="K312" s="22">
        <v>-18</v>
      </c>
      <c r="L312" s="22">
        <v>-11</v>
      </c>
      <c r="M312" s="22" t="s">
        <v>578</v>
      </c>
      <c r="N312" s="23" t="s">
        <v>579</v>
      </c>
    </row>
    <row r="313" spans="1:14">
      <c r="A313" s="335">
        <v>306</v>
      </c>
      <c r="B313" s="39" t="str">
        <f t="shared" si="48"/>
        <v>α lyr</v>
      </c>
      <c r="C313" s="39" t="str">
        <f t="shared" si="49"/>
        <v>μ 57</v>
      </c>
      <c r="F313" s="25" t="s">
        <v>2078</v>
      </c>
      <c r="G313" s="22">
        <v>6</v>
      </c>
      <c r="H313" s="22">
        <v>36</v>
      </c>
      <c r="I313" s="22">
        <v>22.9</v>
      </c>
      <c r="J313" s="22">
        <v>-18</v>
      </c>
      <c r="K313" s="22">
        <v>-39</v>
      </c>
      <c r="L313" s="22">
        <v>-36</v>
      </c>
      <c r="M313" s="22" t="s">
        <v>580</v>
      </c>
      <c r="N313" s="23" t="s">
        <v>581</v>
      </c>
    </row>
    <row r="314" spans="1:14">
      <c r="A314" s="335">
        <v>307</v>
      </c>
      <c r="B314" s="39" t="str">
        <f t="shared" si="48"/>
        <v>α lyr</v>
      </c>
      <c r="C314" s="39" t="str">
        <f t="shared" si="49"/>
        <v>μ 57</v>
      </c>
      <c r="F314" s="27" t="s">
        <v>2079</v>
      </c>
      <c r="G314" s="26"/>
      <c r="H314" s="26"/>
      <c r="I314" s="26"/>
      <c r="J314" s="26"/>
      <c r="K314" s="26"/>
      <c r="L314" s="26"/>
      <c r="M314" s="26" t="s">
        <v>582</v>
      </c>
      <c r="N314" s="30" t="s">
        <v>583</v>
      </c>
    </row>
    <row r="315" spans="1:14">
      <c r="A315" s="335">
        <v>308</v>
      </c>
      <c r="B315" s="39" t="str">
        <f t="shared" si="48"/>
        <v>α lyr</v>
      </c>
      <c r="C315" s="39" t="str">
        <f t="shared" si="49"/>
        <v>μ 57</v>
      </c>
      <c r="F315" s="25" t="s">
        <v>2080</v>
      </c>
      <c r="G315" s="22">
        <v>7</v>
      </c>
      <c r="H315" s="22">
        <v>39</v>
      </c>
      <c r="I315" s="22">
        <v>18.100000000000001</v>
      </c>
      <c r="J315" s="22">
        <v>5</v>
      </c>
      <c r="K315" s="22">
        <v>13</v>
      </c>
      <c r="L315" s="22">
        <v>30</v>
      </c>
      <c r="M315" s="22" t="s">
        <v>584</v>
      </c>
      <c r="N315" s="23" t="s">
        <v>585</v>
      </c>
    </row>
    <row r="316" spans="1:14">
      <c r="A316" s="335">
        <v>309</v>
      </c>
      <c r="B316" s="39" t="str">
        <f t="shared" si="48"/>
        <v>α lyr</v>
      </c>
      <c r="C316" s="39" t="str">
        <f t="shared" si="49"/>
        <v>μ 57</v>
      </c>
      <c r="F316" s="25" t="s">
        <v>2081</v>
      </c>
      <c r="G316" s="22">
        <v>7</v>
      </c>
      <c r="H316" s="22">
        <v>27</v>
      </c>
      <c r="I316" s="22">
        <v>9</v>
      </c>
      <c r="J316" s="22">
        <v>8</v>
      </c>
      <c r="K316" s="22">
        <v>17</v>
      </c>
      <c r="L316" s="22">
        <v>22</v>
      </c>
      <c r="M316" s="22" t="s">
        <v>586</v>
      </c>
      <c r="N316" s="23" t="s">
        <v>587</v>
      </c>
    </row>
    <row r="317" spans="1:14">
      <c r="A317" s="335">
        <v>310</v>
      </c>
      <c r="B317" s="39" t="str">
        <f t="shared" si="48"/>
        <v>α lyr</v>
      </c>
      <c r="C317" s="39" t="str">
        <f t="shared" si="49"/>
        <v>μ 57</v>
      </c>
      <c r="F317" s="25" t="s">
        <v>2082</v>
      </c>
      <c r="G317" s="22">
        <v>7</v>
      </c>
      <c r="H317" s="22">
        <v>28</v>
      </c>
      <c r="I317" s="22">
        <v>9.8000000000000007</v>
      </c>
      <c r="J317" s="22">
        <v>8</v>
      </c>
      <c r="K317" s="22">
        <v>55</v>
      </c>
      <c r="L317" s="22">
        <v>32</v>
      </c>
      <c r="M317" s="22" t="s">
        <v>588</v>
      </c>
      <c r="N317" s="23" t="s">
        <v>589</v>
      </c>
    </row>
    <row r="318" spans="1:14">
      <c r="A318" s="335">
        <v>311</v>
      </c>
      <c r="B318" s="39" t="str">
        <f t="shared" si="48"/>
        <v>α lyr</v>
      </c>
      <c r="C318" s="39" t="str">
        <f t="shared" si="49"/>
        <v>μ 57</v>
      </c>
      <c r="F318" s="27" t="s">
        <v>2083</v>
      </c>
      <c r="G318" s="26"/>
      <c r="H318" s="26"/>
      <c r="I318" s="26"/>
      <c r="J318" s="26"/>
      <c r="K318" s="26"/>
      <c r="L318" s="26"/>
      <c r="M318" s="26" t="s">
        <v>590</v>
      </c>
      <c r="N318" s="30" t="s">
        <v>591</v>
      </c>
    </row>
    <row r="319" spans="1:14">
      <c r="A319" s="335">
        <v>312</v>
      </c>
      <c r="B319" s="39" t="str">
        <f t="shared" si="48"/>
        <v>α lyr</v>
      </c>
      <c r="C319" s="39" t="str">
        <f t="shared" si="49"/>
        <v>μ 57</v>
      </c>
      <c r="F319" s="25" t="s">
        <v>2084</v>
      </c>
      <c r="G319" s="22">
        <v>13</v>
      </c>
      <c r="H319" s="22">
        <v>9</v>
      </c>
      <c r="I319" s="22">
        <v>59.3</v>
      </c>
      <c r="J319" s="22">
        <v>17</v>
      </c>
      <c r="K319" s="22">
        <v>31</v>
      </c>
      <c r="L319" s="22">
        <v>46</v>
      </c>
      <c r="M319" s="22" t="s">
        <v>592</v>
      </c>
      <c r="N319" s="23" t="s">
        <v>593</v>
      </c>
    </row>
    <row r="320" spans="1:14">
      <c r="A320" s="335">
        <v>313</v>
      </c>
      <c r="B320" s="39" t="str">
        <f t="shared" si="48"/>
        <v>α lyr</v>
      </c>
      <c r="C320" s="39" t="str">
        <f t="shared" si="49"/>
        <v>μ 57</v>
      </c>
      <c r="F320" s="25" t="s">
        <v>2085</v>
      </c>
      <c r="G320" s="22">
        <v>13</v>
      </c>
      <c r="H320" s="22">
        <v>11</v>
      </c>
      <c r="I320" s="22">
        <v>52.4</v>
      </c>
      <c r="J320" s="22">
        <v>27</v>
      </c>
      <c r="K320" s="22">
        <v>25</v>
      </c>
      <c r="L320" s="22">
        <v>41</v>
      </c>
      <c r="M320" s="22" t="s">
        <v>594</v>
      </c>
      <c r="N320" s="23" t="s">
        <v>595</v>
      </c>
    </row>
    <row r="321" spans="1:14">
      <c r="A321" s="335">
        <v>314</v>
      </c>
      <c r="B321" s="39" t="str">
        <f t="shared" si="48"/>
        <v>α lyr</v>
      </c>
      <c r="C321" s="39" t="str">
        <f t="shared" si="49"/>
        <v>μ 57</v>
      </c>
      <c r="F321" s="25" t="s">
        <v>2086</v>
      </c>
      <c r="G321" s="22">
        <v>12</v>
      </c>
      <c r="H321" s="22">
        <v>26</v>
      </c>
      <c r="I321" s="22">
        <v>56.3</v>
      </c>
      <c r="J321" s="22">
        <v>28</v>
      </c>
      <c r="K321" s="22">
        <v>16</v>
      </c>
      <c r="L321" s="22">
        <v>6</v>
      </c>
      <c r="M321" s="22" t="s">
        <v>596</v>
      </c>
      <c r="N321" s="23" t="s">
        <v>597</v>
      </c>
    </row>
    <row r="322" spans="1:14">
      <c r="A322" s="335">
        <v>315</v>
      </c>
      <c r="B322" s="39" t="str">
        <f t="shared" si="48"/>
        <v>α lyr</v>
      </c>
      <c r="C322" s="39" t="str">
        <f t="shared" si="49"/>
        <v>μ 57</v>
      </c>
      <c r="F322" s="27" t="s">
        <v>2087</v>
      </c>
      <c r="G322" s="26"/>
      <c r="H322" s="26"/>
      <c r="I322" s="26"/>
      <c r="J322" s="26"/>
      <c r="K322" s="26"/>
      <c r="L322" s="26"/>
      <c r="M322" s="26" t="s">
        <v>598</v>
      </c>
      <c r="N322" s="26" t="s">
        <v>599</v>
      </c>
    </row>
    <row r="323" spans="1:14">
      <c r="A323" s="335">
        <v>316</v>
      </c>
      <c r="B323" s="39" t="str">
        <f t="shared" si="48"/>
        <v>α lyr</v>
      </c>
      <c r="C323" s="39" t="str">
        <f t="shared" si="49"/>
        <v>μ 57</v>
      </c>
      <c r="F323" s="25" t="s">
        <v>2088</v>
      </c>
      <c r="G323" s="22">
        <v>12</v>
      </c>
      <c r="H323" s="22">
        <v>8</v>
      </c>
      <c r="I323" s="22">
        <v>24.8</v>
      </c>
      <c r="J323" s="22">
        <v>-24</v>
      </c>
      <c r="K323" s="22">
        <v>-43</v>
      </c>
      <c r="L323" s="22">
        <v>-44</v>
      </c>
      <c r="M323" s="22" t="s">
        <v>600</v>
      </c>
      <c r="N323" s="23" t="s">
        <v>601</v>
      </c>
    </row>
    <row r="324" spans="1:14">
      <c r="A324" s="335">
        <v>317</v>
      </c>
      <c r="B324" s="39" t="str">
        <f t="shared" si="48"/>
        <v>α lyr</v>
      </c>
      <c r="C324" s="39" t="str">
        <f t="shared" si="49"/>
        <v>μ 57</v>
      </c>
      <c r="F324" s="25" t="s">
        <v>2089</v>
      </c>
      <c r="G324" s="22">
        <v>12</v>
      </c>
      <c r="H324" s="22">
        <v>34</v>
      </c>
      <c r="I324" s="22">
        <v>23.2</v>
      </c>
      <c r="J324" s="22">
        <v>-23</v>
      </c>
      <c r="K324" s="22">
        <v>-23</v>
      </c>
      <c r="L324" s="22">
        <v>-48</v>
      </c>
      <c r="M324" s="22" t="s">
        <v>602</v>
      </c>
      <c r="N324" s="23" t="s">
        <v>603</v>
      </c>
    </row>
    <row r="325" spans="1:14">
      <c r="A325" s="335">
        <v>318</v>
      </c>
      <c r="B325" s="39" t="str">
        <f t="shared" si="48"/>
        <v>α lyr</v>
      </c>
      <c r="C325" s="39" t="str">
        <f t="shared" si="49"/>
        <v>μ 57</v>
      </c>
      <c r="F325" s="25" t="s">
        <v>2090</v>
      </c>
      <c r="G325" s="22">
        <v>12</v>
      </c>
      <c r="H325" s="22">
        <v>15</v>
      </c>
      <c r="I325" s="22">
        <v>48.4</v>
      </c>
      <c r="J325" s="22">
        <v>-17</v>
      </c>
      <c r="K325" s="22">
        <v>-32</v>
      </c>
      <c r="L325" s="22">
        <v>-31</v>
      </c>
      <c r="M325" s="22" t="s">
        <v>604</v>
      </c>
      <c r="N325" s="23" t="s">
        <v>605</v>
      </c>
    </row>
    <row r="326" spans="1:14">
      <c r="A326" s="335">
        <v>319</v>
      </c>
      <c r="B326" s="39" t="str">
        <f t="shared" ref="B326:B389" si="50">IF(B325=F326,A326,B325)</f>
        <v>α lyr</v>
      </c>
      <c r="C326" s="39" t="str">
        <f t="shared" ref="C326:C389" si="51" xml:space="preserve"> IF(C325=F326,A326,C325)</f>
        <v>μ 57</v>
      </c>
      <c r="F326" s="25" t="s">
        <v>2091</v>
      </c>
      <c r="G326" s="22">
        <v>12</v>
      </c>
      <c r="H326" s="22">
        <v>29</v>
      </c>
      <c r="I326" s="22">
        <v>51.9</v>
      </c>
      <c r="J326" s="22">
        <v>-16</v>
      </c>
      <c r="K326" s="22">
        <v>-30</v>
      </c>
      <c r="L326" s="22">
        <v>-56</v>
      </c>
      <c r="M326" s="22" t="s">
        <v>606</v>
      </c>
      <c r="N326" s="23" t="s">
        <v>607</v>
      </c>
    </row>
    <row r="327" spans="1:14">
      <c r="A327" s="335">
        <v>320</v>
      </c>
      <c r="B327" s="39" t="str">
        <f t="shared" si="50"/>
        <v>α lyr</v>
      </c>
      <c r="C327" s="39" t="str">
        <f t="shared" si="51"/>
        <v>μ 57</v>
      </c>
      <c r="F327" s="25" t="s">
        <v>2092</v>
      </c>
      <c r="G327" s="22">
        <v>12</v>
      </c>
      <c r="H327" s="22">
        <v>10</v>
      </c>
      <c r="I327" s="22">
        <v>7.5</v>
      </c>
      <c r="J327" s="22">
        <v>-22</v>
      </c>
      <c r="K327" s="22">
        <v>-37</v>
      </c>
      <c r="L327" s="22">
        <v>-11</v>
      </c>
      <c r="M327" s="22" t="s">
        <v>608</v>
      </c>
      <c r="N327" s="23" t="s">
        <v>609</v>
      </c>
    </row>
    <row r="328" spans="1:14">
      <c r="A328" s="335">
        <v>321</v>
      </c>
      <c r="B328" s="39" t="str">
        <f t="shared" si="50"/>
        <v>α lyr</v>
      </c>
      <c r="C328" s="39" t="str">
        <f t="shared" si="51"/>
        <v>μ 57</v>
      </c>
      <c r="F328" s="27" t="s">
        <v>2093</v>
      </c>
      <c r="G328" s="26"/>
      <c r="H328" s="26"/>
      <c r="I328" s="26"/>
      <c r="J328" s="26"/>
      <c r="K328" s="26"/>
      <c r="L328" s="26"/>
      <c r="M328" s="26" t="s">
        <v>610</v>
      </c>
      <c r="N328" s="26" t="s">
        <v>611</v>
      </c>
    </row>
    <row r="329" spans="1:14">
      <c r="A329" s="335">
        <v>322</v>
      </c>
      <c r="B329" s="39" t="str">
        <f t="shared" si="50"/>
        <v>α lyr</v>
      </c>
      <c r="C329" s="39" t="str">
        <f t="shared" si="51"/>
        <v>μ 57</v>
      </c>
      <c r="F329" s="25" t="s">
        <v>2094</v>
      </c>
      <c r="G329" s="22">
        <v>10</v>
      </c>
      <c r="H329" s="22">
        <v>59</v>
      </c>
      <c r="I329" s="22">
        <v>46.5</v>
      </c>
      <c r="J329" s="22">
        <v>-18</v>
      </c>
      <c r="K329" s="22">
        <v>-17</v>
      </c>
      <c r="L329" s="22">
        <v>-56</v>
      </c>
      <c r="M329" s="22" t="s">
        <v>612</v>
      </c>
      <c r="N329" s="22" t="s">
        <v>613</v>
      </c>
    </row>
    <row r="330" spans="1:14">
      <c r="A330" s="335">
        <v>323</v>
      </c>
      <c r="B330" s="39" t="str">
        <f t="shared" si="50"/>
        <v>α lyr</v>
      </c>
      <c r="C330" s="39" t="str">
        <f t="shared" si="51"/>
        <v>μ 57</v>
      </c>
      <c r="F330" s="25" t="s">
        <v>2095</v>
      </c>
      <c r="G330" s="22">
        <v>11</v>
      </c>
      <c r="H330" s="22">
        <v>11</v>
      </c>
      <c r="I330" s="22">
        <v>39.5</v>
      </c>
      <c r="J330" s="22">
        <v>-22</v>
      </c>
      <c r="K330" s="22">
        <v>-49</v>
      </c>
      <c r="L330" s="22">
        <v>-33</v>
      </c>
      <c r="M330" s="22" t="s">
        <v>614</v>
      </c>
      <c r="N330" s="22" t="s">
        <v>615</v>
      </c>
    </row>
    <row r="331" spans="1:14">
      <c r="A331" s="335">
        <v>324</v>
      </c>
      <c r="B331" s="39" t="str">
        <f t="shared" si="50"/>
        <v>α lyr</v>
      </c>
      <c r="C331" s="39" t="str">
        <f t="shared" si="51"/>
        <v>μ 57</v>
      </c>
      <c r="F331" s="25" t="s">
        <v>2096</v>
      </c>
      <c r="G331" s="22">
        <v>11</v>
      </c>
      <c r="H331" s="22">
        <v>24</v>
      </c>
      <c r="I331" s="22">
        <v>52.9</v>
      </c>
      <c r="J331" s="22">
        <v>-17</v>
      </c>
      <c r="K331" s="22">
        <v>-41</v>
      </c>
      <c r="L331" s="22">
        <v>-2</v>
      </c>
      <c r="M331" s="22" t="s">
        <v>616</v>
      </c>
      <c r="N331" s="22" t="s">
        <v>617</v>
      </c>
    </row>
    <row r="332" spans="1:14">
      <c r="A332" s="335">
        <v>325</v>
      </c>
      <c r="B332" s="39" t="str">
        <f t="shared" si="50"/>
        <v>α lyr</v>
      </c>
      <c r="C332" s="39" t="str">
        <f t="shared" si="51"/>
        <v>μ 57</v>
      </c>
      <c r="F332" s="25" t="s">
        <v>2097</v>
      </c>
      <c r="G332" s="22">
        <v>11</v>
      </c>
      <c r="H332" s="22">
        <v>19</v>
      </c>
      <c r="I332" s="22">
        <v>20.399999999999999</v>
      </c>
      <c r="J332" s="22">
        <v>-14</v>
      </c>
      <c r="K332" s="22">
        <v>-46</v>
      </c>
      <c r="L332" s="22">
        <v>-43</v>
      </c>
      <c r="M332" s="22" t="s">
        <v>618</v>
      </c>
      <c r="N332" s="22" t="s">
        <v>619</v>
      </c>
    </row>
    <row r="333" spans="1:14">
      <c r="A333" s="335">
        <v>326</v>
      </c>
      <c r="B333" s="39" t="str">
        <f t="shared" si="50"/>
        <v>α lyr</v>
      </c>
      <c r="C333" s="39" t="str">
        <f t="shared" si="51"/>
        <v>μ 57</v>
      </c>
      <c r="F333" s="25" t="s">
        <v>2098</v>
      </c>
      <c r="G333" s="22">
        <v>11</v>
      </c>
      <c r="H333" s="22">
        <v>24</v>
      </c>
      <c r="I333" s="22">
        <v>36.6</v>
      </c>
      <c r="J333" s="22">
        <v>-10</v>
      </c>
      <c r="K333" s="22">
        <v>-51</v>
      </c>
      <c r="L333" s="22">
        <v>-34</v>
      </c>
      <c r="M333" s="22" t="s">
        <v>620</v>
      </c>
      <c r="N333" s="22" t="s">
        <v>621</v>
      </c>
    </row>
    <row r="334" spans="1:14">
      <c r="A334" s="335">
        <v>327</v>
      </c>
      <c r="B334" s="39" t="str">
        <f t="shared" si="50"/>
        <v>α lyr</v>
      </c>
      <c r="C334" s="39" t="str">
        <f t="shared" si="51"/>
        <v>μ 57</v>
      </c>
      <c r="F334" s="25" t="s">
        <v>2099</v>
      </c>
      <c r="G334" s="22">
        <v>11</v>
      </c>
      <c r="H334" s="22">
        <v>44</v>
      </c>
      <c r="I334" s="22">
        <v>45.8</v>
      </c>
      <c r="J334" s="22">
        <v>-18</v>
      </c>
      <c r="K334" s="22">
        <v>-21</v>
      </c>
      <c r="L334" s="22">
        <v>-2</v>
      </c>
      <c r="M334" s="22" t="s">
        <v>622</v>
      </c>
      <c r="N334" s="22" t="s">
        <v>623</v>
      </c>
    </row>
    <row r="335" spans="1:14">
      <c r="A335" s="335">
        <v>328</v>
      </c>
      <c r="B335" s="39" t="str">
        <f t="shared" si="50"/>
        <v>α lyr</v>
      </c>
      <c r="C335" s="39" t="str">
        <f t="shared" si="51"/>
        <v>μ 57</v>
      </c>
      <c r="F335" s="25" t="s">
        <v>2100</v>
      </c>
      <c r="G335" s="22">
        <v>11</v>
      </c>
      <c r="H335" s="22">
        <v>56</v>
      </c>
      <c r="I335" s="22">
        <v>1</v>
      </c>
      <c r="J335" s="22">
        <v>-17</v>
      </c>
      <c r="K335" s="22">
        <v>-9</v>
      </c>
      <c r="L335" s="22">
        <v>-3</v>
      </c>
      <c r="M335" s="22" t="s">
        <v>624</v>
      </c>
      <c r="N335" s="22" t="s">
        <v>625</v>
      </c>
    </row>
    <row r="336" spans="1:14">
      <c r="A336" s="335">
        <v>329</v>
      </c>
      <c r="B336" s="39" t="str">
        <f t="shared" si="50"/>
        <v>α lyr</v>
      </c>
      <c r="C336" s="39" t="str">
        <f t="shared" si="51"/>
        <v>μ 57</v>
      </c>
      <c r="F336" s="25" t="s">
        <v>2101</v>
      </c>
      <c r="G336" s="22">
        <v>11</v>
      </c>
      <c r="H336" s="22">
        <v>36</v>
      </c>
      <c r="I336" s="22">
        <v>40.9</v>
      </c>
      <c r="J336" s="22">
        <v>-9</v>
      </c>
      <c r="K336" s="22">
        <v>-48</v>
      </c>
      <c r="L336" s="22">
        <v>-8</v>
      </c>
      <c r="M336" s="22" t="s">
        <v>626</v>
      </c>
      <c r="N336" s="22" t="s">
        <v>627</v>
      </c>
    </row>
    <row r="337" spans="1:14">
      <c r="A337" s="335">
        <v>330</v>
      </c>
      <c r="B337" s="39" t="str">
        <f t="shared" si="50"/>
        <v>α lyr</v>
      </c>
      <c r="C337" s="39" t="str">
        <f t="shared" si="51"/>
        <v>μ 57</v>
      </c>
      <c r="F337" s="27" t="s">
        <v>2102</v>
      </c>
      <c r="G337" s="26"/>
      <c r="H337" s="26"/>
      <c r="I337" s="26"/>
      <c r="J337" s="26"/>
      <c r="K337" s="26"/>
      <c r="L337" s="26"/>
      <c r="M337" s="26" t="s">
        <v>628</v>
      </c>
      <c r="N337" s="26" t="s">
        <v>629</v>
      </c>
    </row>
    <row r="338" spans="1:14">
      <c r="A338" s="335">
        <v>331</v>
      </c>
      <c r="B338" s="39" t="str">
        <f t="shared" si="50"/>
        <v>α lyr</v>
      </c>
      <c r="C338" s="39" t="str">
        <f t="shared" si="51"/>
        <v>μ 57</v>
      </c>
      <c r="F338" s="25" t="s">
        <v>2103</v>
      </c>
      <c r="G338" s="22">
        <v>2</v>
      </c>
      <c r="H338" s="22">
        <v>49</v>
      </c>
      <c r="I338" s="22">
        <v>59</v>
      </c>
      <c r="J338" s="22">
        <v>27</v>
      </c>
      <c r="K338" s="22">
        <v>15</v>
      </c>
      <c r="L338" s="22">
        <v>38</v>
      </c>
      <c r="M338" s="22" t="s">
        <v>630</v>
      </c>
      <c r="N338" s="22" t="s">
        <v>631</v>
      </c>
    </row>
    <row r="339" spans="1:14">
      <c r="A339" s="335">
        <v>332</v>
      </c>
      <c r="B339" s="39" t="str">
        <f t="shared" si="50"/>
        <v>α lyr</v>
      </c>
      <c r="C339" s="39" t="str">
        <f t="shared" si="51"/>
        <v>μ 57</v>
      </c>
      <c r="F339" s="25" t="s">
        <v>2104</v>
      </c>
      <c r="G339" s="22">
        <v>2</v>
      </c>
      <c r="H339" s="22">
        <v>7</v>
      </c>
      <c r="I339" s="22">
        <v>10.4</v>
      </c>
      <c r="J339" s="22">
        <v>23</v>
      </c>
      <c r="K339" s="22">
        <v>27</v>
      </c>
      <c r="L339" s="22">
        <v>45</v>
      </c>
      <c r="M339" s="22" t="s">
        <v>632</v>
      </c>
      <c r="N339" s="22" t="s">
        <v>633</v>
      </c>
    </row>
    <row r="340" spans="1:14">
      <c r="A340" s="335">
        <v>333</v>
      </c>
      <c r="B340" s="39" t="str">
        <f t="shared" si="50"/>
        <v>α lyr</v>
      </c>
      <c r="C340" s="39" t="str">
        <f t="shared" si="51"/>
        <v>μ 57</v>
      </c>
      <c r="F340" s="25" t="s">
        <v>2105</v>
      </c>
      <c r="G340" s="22">
        <v>1</v>
      </c>
      <c r="H340" s="22">
        <v>54</v>
      </c>
      <c r="I340" s="22">
        <v>38.4</v>
      </c>
      <c r="J340" s="22">
        <v>20</v>
      </c>
      <c r="K340" s="22">
        <v>48</v>
      </c>
      <c r="L340" s="22">
        <v>29</v>
      </c>
      <c r="M340" s="22" t="s">
        <v>634</v>
      </c>
      <c r="N340" s="22" t="s">
        <v>635</v>
      </c>
    </row>
    <row r="341" spans="1:14">
      <c r="A341" s="335">
        <v>334</v>
      </c>
      <c r="B341" s="39" t="str">
        <f t="shared" si="50"/>
        <v>α lyr</v>
      </c>
      <c r="C341" s="39" t="str">
        <f t="shared" si="51"/>
        <v>μ 57</v>
      </c>
      <c r="F341" s="25" t="s">
        <v>2106</v>
      </c>
      <c r="G341" s="22">
        <v>1</v>
      </c>
      <c r="H341" s="22">
        <v>53</v>
      </c>
      <c r="I341" s="22">
        <v>31.8</v>
      </c>
      <c r="J341" s="22">
        <v>19</v>
      </c>
      <c r="K341" s="22">
        <v>17</v>
      </c>
      <c r="L341" s="22">
        <v>38</v>
      </c>
      <c r="M341" s="22" t="s">
        <v>636</v>
      </c>
      <c r="N341" s="22" t="s">
        <v>637</v>
      </c>
    </row>
    <row r="342" spans="1:14">
      <c r="A342" s="335">
        <v>335</v>
      </c>
      <c r="B342" s="39" t="str">
        <f t="shared" si="50"/>
        <v>α lyr</v>
      </c>
      <c r="C342" s="39" t="str">
        <f t="shared" si="51"/>
        <v>μ 57</v>
      </c>
      <c r="F342" s="27" t="s">
        <v>2107</v>
      </c>
      <c r="G342" s="26"/>
      <c r="H342" s="26"/>
      <c r="I342" s="26"/>
      <c r="J342" s="26"/>
      <c r="K342" s="26"/>
      <c r="L342" s="26"/>
      <c r="M342" s="26" t="s">
        <v>638</v>
      </c>
      <c r="N342" s="30" t="s">
        <v>639</v>
      </c>
    </row>
    <row r="343" spans="1:14">
      <c r="A343" s="335">
        <v>336</v>
      </c>
      <c r="B343" s="39" t="str">
        <f t="shared" si="50"/>
        <v>α lyr</v>
      </c>
      <c r="C343" s="39" t="str">
        <f t="shared" si="51"/>
        <v>μ 57</v>
      </c>
      <c r="F343" s="25" t="s">
        <v>2108</v>
      </c>
      <c r="G343" s="22">
        <v>12</v>
      </c>
      <c r="H343" s="22">
        <v>56</v>
      </c>
      <c r="I343" s="22">
        <v>1.7</v>
      </c>
      <c r="J343" s="22">
        <v>38</v>
      </c>
      <c r="K343" s="22">
        <v>19</v>
      </c>
      <c r="L343" s="22">
        <v>6</v>
      </c>
      <c r="M343" s="22" t="s">
        <v>640</v>
      </c>
      <c r="N343" s="23" t="s">
        <v>641</v>
      </c>
    </row>
    <row r="344" spans="1:14">
      <c r="A344" s="335">
        <v>337</v>
      </c>
      <c r="B344" s="39" t="str">
        <f t="shared" si="50"/>
        <v>α lyr</v>
      </c>
      <c r="C344" s="39" t="str">
        <f t="shared" si="51"/>
        <v>μ 57</v>
      </c>
      <c r="F344" s="25" t="s">
        <v>2109</v>
      </c>
      <c r="G344" s="22">
        <v>12</v>
      </c>
      <c r="H344" s="22">
        <v>33</v>
      </c>
      <c r="I344" s="22">
        <v>44.5</v>
      </c>
      <c r="J344" s="22">
        <v>41</v>
      </c>
      <c r="K344" s="22">
        <v>21</v>
      </c>
      <c r="L344" s="22">
        <v>27</v>
      </c>
      <c r="M344" s="22" t="s">
        <v>642</v>
      </c>
      <c r="N344" s="23" t="s">
        <v>643</v>
      </c>
    </row>
    <row r="345" spans="1:14">
      <c r="A345" s="335">
        <v>338</v>
      </c>
      <c r="B345" s="39" t="str">
        <f t="shared" si="50"/>
        <v>α lyr</v>
      </c>
      <c r="C345" s="39" t="str">
        <f t="shared" si="51"/>
        <v>μ 57</v>
      </c>
      <c r="F345" s="27" t="s">
        <v>2110</v>
      </c>
      <c r="G345" s="26"/>
      <c r="H345" s="26"/>
      <c r="I345" s="26"/>
      <c r="J345" s="26"/>
      <c r="K345" s="26"/>
      <c r="L345" s="26"/>
      <c r="M345" s="26" t="s">
        <v>644</v>
      </c>
      <c r="N345" s="26" t="s">
        <v>645</v>
      </c>
    </row>
    <row r="346" spans="1:14">
      <c r="A346" s="335">
        <v>339</v>
      </c>
      <c r="B346" s="39" t="str">
        <f t="shared" si="50"/>
        <v>α lyr</v>
      </c>
      <c r="C346" s="39" t="str">
        <f t="shared" si="51"/>
        <v>μ 57</v>
      </c>
      <c r="F346" s="25" t="s">
        <v>2111</v>
      </c>
      <c r="G346" s="22">
        <v>20</v>
      </c>
      <c r="H346" s="22">
        <v>45</v>
      </c>
      <c r="I346" s="22">
        <v>39.799999999999997</v>
      </c>
      <c r="J346" s="22">
        <v>30</v>
      </c>
      <c r="K346" s="22">
        <v>43</v>
      </c>
      <c r="L346" s="22">
        <v>11</v>
      </c>
      <c r="M346" s="22" t="s">
        <v>646</v>
      </c>
      <c r="N346" s="22" t="s">
        <v>647</v>
      </c>
    </row>
    <row r="347" spans="1:14">
      <c r="A347" s="335">
        <v>340</v>
      </c>
      <c r="B347" s="39" t="str">
        <f t="shared" si="50"/>
        <v>α lyr</v>
      </c>
      <c r="C347" s="39" t="str">
        <f t="shared" si="51"/>
        <v>μ 57</v>
      </c>
      <c r="F347" s="25" t="s">
        <v>2112</v>
      </c>
      <c r="G347" s="22">
        <v>21</v>
      </c>
      <c r="H347" s="22">
        <v>6</v>
      </c>
      <c r="I347" s="22">
        <v>54.6</v>
      </c>
      <c r="J347" s="22">
        <v>38</v>
      </c>
      <c r="K347" s="22">
        <v>44</v>
      </c>
      <c r="L347" s="22">
        <v>45</v>
      </c>
      <c r="M347" s="22" t="s">
        <v>648</v>
      </c>
      <c r="N347" s="22" t="s">
        <v>649</v>
      </c>
    </row>
    <row r="348" spans="1:14">
      <c r="A348" s="335">
        <v>341</v>
      </c>
      <c r="B348" s="39" t="str">
        <f t="shared" si="50"/>
        <v>α lyr</v>
      </c>
      <c r="C348" s="39" t="str">
        <f t="shared" si="51"/>
        <v>μ 57</v>
      </c>
      <c r="F348" s="25" t="s">
        <v>2113</v>
      </c>
      <c r="G348" s="22">
        <v>20</v>
      </c>
      <c r="H348" s="22">
        <v>41</v>
      </c>
      <c r="I348" s="22">
        <v>25.9</v>
      </c>
      <c r="J348" s="22">
        <v>45</v>
      </c>
      <c r="K348" s="22">
        <v>16</v>
      </c>
      <c r="L348" s="22">
        <v>49</v>
      </c>
      <c r="M348" s="22" t="s">
        <v>650</v>
      </c>
      <c r="N348" s="22" t="s">
        <v>651</v>
      </c>
    </row>
    <row r="349" spans="1:14">
      <c r="A349" s="335">
        <v>342</v>
      </c>
      <c r="B349" s="39" t="str">
        <f t="shared" si="50"/>
        <v>α lyr</v>
      </c>
      <c r="C349" s="39" t="str">
        <f t="shared" si="51"/>
        <v>μ 57</v>
      </c>
      <c r="F349" s="25" t="s">
        <v>2114</v>
      </c>
      <c r="G349" s="22">
        <v>19</v>
      </c>
      <c r="H349" s="22">
        <v>30</v>
      </c>
      <c r="I349" s="22">
        <v>43.3</v>
      </c>
      <c r="J349" s="22">
        <v>27</v>
      </c>
      <c r="K349" s="22">
        <v>57</v>
      </c>
      <c r="L349" s="22">
        <v>35</v>
      </c>
      <c r="M349" s="22" t="s">
        <v>652</v>
      </c>
      <c r="N349" s="22" t="s">
        <v>653</v>
      </c>
    </row>
    <row r="350" spans="1:14">
      <c r="A350" s="335">
        <v>343</v>
      </c>
      <c r="B350" s="39" t="str">
        <f t="shared" si="50"/>
        <v>α lyr</v>
      </c>
      <c r="C350" s="39" t="str">
        <f t="shared" si="51"/>
        <v>μ 57</v>
      </c>
      <c r="F350" s="25" t="s">
        <v>2115</v>
      </c>
      <c r="G350" s="22">
        <v>20</v>
      </c>
      <c r="H350" s="22">
        <v>22</v>
      </c>
      <c r="I350" s="22">
        <v>13.7</v>
      </c>
      <c r="J350" s="22">
        <v>40</v>
      </c>
      <c r="K350" s="22">
        <v>15</v>
      </c>
      <c r="L350" s="22">
        <v>24</v>
      </c>
      <c r="M350" s="22" t="s">
        <v>3954</v>
      </c>
      <c r="N350" s="22" t="s">
        <v>3955</v>
      </c>
    </row>
    <row r="351" spans="1:14">
      <c r="A351" s="335">
        <v>344</v>
      </c>
      <c r="B351" s="39" t="str">
        <f t="shared" si="50"/>
        <v>α lyr</v>
      </c>
      <c r="C351" s="39" t="str">
        <f t="shared" si="51"/>
        <v>μ 57</v>
      </c>
      <c r="F351" s="25" t="s">
        <v>2116</v>
      </c>
      <c r="G351" s="22">
        <v>19</v>
      </c>
      <c r="H351" s="22">
        <v>44</v>
      </c>
      <c r="I351" s="22">
        <v>58.5</v>
      </c>
      <c r="J351" s="22">
        <v>45</v>
      </c>
      <c r="K351" s="22">
        <v>7</v>
      </c>
      <c r="L351" s="22">
        <v>51</v>
      </c>
      <c r="M351" s="22" t="s">
        <v>654</v>
      </c>
      <c r="N351" s="22" t="s">
        <v>655</v>
      </c>
    </row>
    <row r="352" spans="1:14">
      <c r="A352" s="335">
        <v>345</v>
      </c>
      <c r="B352" s="39" t="str">
        <f t="shared" si="50"/>
        <v>α lyr</v>
      </c>
      <c r="C352" s="39" t="str">
        <f t="shared" si="51"/>
        <v>μ 57</v>
      </c>
      <c r="F352" s="25" t="s">
        <v>2117</v>
      </c>
      <c r="G352" s="22">
        <v>20</v>
      </c>
      <c r="H352" s="22">
        <v>46</v>
      </c>
      <c r="I352" s="22">
        <v>12.7</v>
      </c>
      <c r="J352" s="22">
        <v>33</v>
      </c>
      <c r="K352" s="22">
        <v>58</v>
      </c>
      <c r="L352" s="22">
        <v>13</v>
      </c>
      <c r="M352" s="22" t="s">
        <v>656</v>
      </c>
      <c r="N352" s="22" t="s">
        <v>657</v>
      </c>
    </row>
    <row r="353" spans="1:14">
      <c r="A353" s="335">
        <v>346</v>
      </c>
      <c r="B353" s="39" t="str">
        <f t="shared" si="50"/>
        <v>α lyr</v>
      </c>
      <c r="C353" s="39" t="str">
        <f t="shared" si="51"/>
        <v>μ 57</v>
      </c>
      <c r="F353" s="25" t="s">
        <v>2118</v>
      </c>
      <c r="G353" s="22">
        <v>21</v>
      </c>
      <c r="H353" s="22">
        <v>12</v>
      </c>
      <c r="I353" s="22">
        <v>56.2</v>
      </c>
      <c r="J353" s="22">
        <v>30</v>
      </c>
      <c r="K353" s="22">
        <v>13</v>
      </c>
      <c r="L353" s="22">
        <v>37</v>
      </c>
      <c r="M353" s="22" t="s">
        <v>658</v>
      </c>
      <c r="N353" s="22" t="s">
        <v>659</v>
      </c>
    </row>
    <row r="354" spans="1:14">
      <c r="A354" s="335">
        <v>347</v>
      </c>
      <c r="B354" s="39" t="str">
        <f t="shared" si="50"/>
        <v>α lyr</v>
      </c>
      <c r="C354" s="39" t="str">
        <f t="shared" si="51"/>
        <v>μ 57</v>
      </c>
      <c r="F354" s="25" t="s">
        <v>2119</v>
      </c>
      <c r="G354" s="22">
        <v>19</v>
      </c>
      <c r="H354" s="22">
        <v>56</v>
      </c>
      <c r="I354" s="22">
        <v>18.399999999999999</v>
      </c>
      <c r="J354" s="22">
        <v>35</v>
      </c>
      <c r="K354" s="22">
        <v>5</v>
      </c>
      <c r="L354" s="22">
        <v>0</v>
      </c>
      <c r="M354" s="22" t="s">
        <v>660</v>
      </c>
      <c r="N354" s="22" t="s">
        <v>661</v>
      </c>
    </row>
    <row r="355" spans="1:14">
      <c r="A355" s="335">
        <v>348</v>
      </c>
      <c r="B355" s="39" t="str">
        <f t="shared" si="50"/>
        <v>α lyr</v>
      </c>
      <c r="C355" s="39" t="str">
        <f t="shared" si="51"/>
        <v>μ 57</v>
      </c>
      <c r="F355" s="41" t="s">
        <v>3831</v>
      </c>
      <c r="G355" s="22">
        <v>19</v>
      </c>
      <c r="H355" s="22">
        <v>36</v>
      </c>
      <c r="I355" s="22">
        <v>26.5</v>
      </c>
      <c r="J355" s="22">
        <v>50</v>
      </c>
      <c r="K355" s="22">
        <v>13</v>
      </c>
      <c r="L355" s="22">
        <v>16</v>
      </c>
      <c r="M355" s="22" t="s">
        <v>3832</v>
      </c>
      <c r="N355" s="22" t="s">
        <v>3833</v>
      </c>
    </row>
    <row r="356" spans="1:14">
      <c r="A356" s="335">
        <v>349</v>
      </c>
      <c r="B356" s="39" t="str">
        <f t="shared" si="50"/>
        <v>α lyr</v>
      </c>
      <c r="C356" s="39" t="str">
        <f t="shared" si="51"/>
        <v>μ 57</v>
      </c>
      <c r="F356" s="25" t="s">
        <v>2120</v>
      </c>
      <c r="G356" s="22">
        <v>19</v>
      </c>
      <c r="H356" s="22">
        <v>29</v>
      </c>
      <c r="I356" s="22">
        <v>42.4</v>
      </c>
      <c r="J356" s="22">
        <v>51</v>
      </c>
      <c r="K356" s="22">
        <v>43</v>
      </c>
      <c r="L356" s="22">
        <v>47</v>
      </c>
      <c r="M356" s="22" t="s">
        <v>662</v>
      </c>
      <c r="N356" s="22" t="s">
        <v>663</v>
      </c>
    </row>
    <row r="357" spans="1:14">
      <c r="A357" s="335">
        <v>350</v>
      </c>
      <c r="B357" s="39" t="str">
        <f t="shared" si="50"/>
        <v>α lyr</v>
      </c>
      <c r="C357" s="39" t="str">
        <f t="shared" si="51"/>
        <v>μ 57</v>
      </c>
      <c r="F357" s="25" t="s">
        <v>2121</v>
      </c>
      <c r="G357" s="22">
        <v>19</v>
      </c>
      <c r="H357" s="22">
        <v>17</v>
      </c>
      <c r="I357" s="22">
        <v>6.2</v>
      </c>
      <c r="J357" s="22">
        <v>53</v>
      </c>
      <c r="K357" s="22">
        <v>22</v>
      </c>
      <c r="L357" s="22">
        <v>6</v>
      </c>
      <c r="M357" s="22" t="s">
        <v>664</v>
      </c>
      <c r="N357" s="22" t="s">
        <v>665</v>
      </c>
    </row>
    <row r="358" spans="1:14">
      <c r="A358" s="335">
        <v>351</v>
      </c>
      <c r="B358" s="39" t="str">
        <f t="shared" si="50"/>
        <v>α lyr</v>
      </c>
      <c r="C358" s="39" t="str">
        <f t="shared" si="51"/>
        <v>μ 57</v>
      </c>
      <c r="F358" s="25" t="s">
        <v>2122</v>
      </c>
      <c r="G358" s="22">
        <v>20</v>
      </c>
      <c r="H358" s="22">
        <v>57</v>
      </c>
      <c r="I358" s="22">
        <v>10.4</v>
      </c>
      <c r="J358" s="22">
        <v>41</v>
      </c>
      <c r="K358" s="22">
        <v>10</v>
      </c>
      <c r="L358" s="22">
        <v>2</v>
      </c>
      <c r="M358" s="22" t="s">
        <v>666</v>
      </c>
      <c r="N358" s="22" t="s">
        <v>667</v>
      </c>
    </row>
    <row r="359" spans="1:14">
      <c r="A359" s="335">
        <v>352</v>
      </c>
      <c r="B359" s="39" t="str">
        <f t="shared" si="50"/>
        <v>α lyr</v>
      </c>
      <c r="C359" s="39" t="str">
        <f t="shared" si="51"/>
        <v>μ 57</v>
      </c>
      <c r="F359" s="25" t="s">
        <v>2123</v>
      </c>
      <c r="G359" s="22">
        <v>21</v>
      </c>
      <c r="H359" s="22">
        <v>4</v>
      </c>
      <c r="I359" s="22">
        <v>55.9</v>
      </c>
      <c r="J359" s="22">
        <v>43</v>
      </c>
      <c r="K359" s="22">
        <v>55</v>
      </c>
      <c r="L359" s="22">
        <v>40</v>
      </c>
      <c r="M359" s="22" t="s">
        <v>668</v>
      </c>
      <c r="N359" s="22" t="s">
        <v>669</v>
      </c>
    </row>
    <row r="360" spans="1:14">
      <c r="A360" s="335">
        <v>353</v>
      </c>
      <c r="B360" s="39" t="str">
        <f t="shared" si="50"/>
        <v>α lyr</v>
      </c>
      <c r="C360" s="39" t="str">
        <f t="shared" si="51"/>
        <v>μ 57</v>
      </c>
      <c r="F360" s="25" t="s">
        <v>2124</v>
      </c>
      <c r="G360" s="22">
        <v>20</v>
      </c>
      <c r="H360" s="22">
        <v>13</v>
      </c>
      <c r="I360" s="22">
        <v>37.9</v>
      </c>
      <c r="J360" s="22">
        <v>46</v>
      </c>
      <c r="K360" s="22">
        <v>44</v>
      </c>
      <c r="L360" s="22">
        <v>29</v>
      </c>
      <c r="M360" s="22" t="s">
        <v>670</v>
      </c>
      <c r="N360" s="22" t="s">
        <v>671</v>
      </c>
    </row>
    <row r="361" spans="1:14">
      <c r="A361" s="335">
        <v>354</v>
      </c>
      <c r="B361" s="39" t="str">
        <f t="shared" si="50"/>
        <v>α lyr</v>
      </c>
      <c r="C361" s="39" t="str">
        <f t="shared" si="51"/>
        <v>μ 57</v>
      </c>
      <c r="F361" s="25" t="s">
        <v>2125</v>
      </c>
      <c r="G361" s="22">
        <v>20</v>
      </c>
      <c r="H361" s="22">
        <v>15</v>
      </c>
      <c r="I361" s="22">
        <v>28.3</v>
      </c>
      <c r="J361" s="22">
        <v>47</v>
      </c>
      <c r="K361" s="22">
        <v>42</v>
      </c>
      <c r="L361" s="22">
        <v>51</v>
      </c>
      <c r="M361" s="22" t="s">
        <v>672</v>
      </c>
      <c r="N361" s="22" t="s">
        <v>673</v>
      </c>
    </row>
    <row r="362" spans="1:14">
      <c r="A362" s="335">
        <v>355</v>
      </c>
      <c r="B362" s="39" t="str">
        <f t="shared" si="50"/>
        <v>α lyr</v>
      </c>
      <c r="C362" s="39" t="str">
        <f t="shared" si="51"/>
        <v>μ 57</v>
      </c>
      <c r="F362" s="25" t="s">
        <v>2126</v>
      </c>
      <c r="G362" s="22">
        <v>21</v>
      </c>
      <c r="H362" s="22">
        <v>17</v>
      </c>
      <c r="I362" s="22">
        <v>25</v>
      </c>
      <c r="J362" s="22">
        <v>39</v>
      </c>
      <c r="K362" s="22">
        <v>23</v>
      </c>
      <c r="L362" s="22">
        <v>41</v>
      </c>
      <c r="M362" s="22" t="s">
        <v>674</v>
      </c>
      <c r="N362" s="22" t="s">
        <v>675</v>
      </c>
    </row>
    <row r="363" spans="1:14">
      <c r="A363" s="335">
        <v>356</v>
      </c>
      <c r="B363" s="39" t="str">
        <f t="shared" si="50"/>
        <v>α lyr</v>
      </c>
      <c r="C363" s="39" t="str">
        <f t="shared" si="51"/>
        <v>μ 57</v>
      </c>
      <c r="F363" s="25" t="s">
        <v>2127</v>
      </c>
      <c r="G363" s="22">
        <v>21</v>
      </c>
      <c r="H363" s="22">
        <v>14</v>
      </c>
      <c r="I363" s="22">
        <v>47.5</v>
      </c>
      <c r="J363" s="22">
        <v>38</v>
      </c>
      <c r="K363" s="22">
        <v>2</v>
      </c>
      <c r="L363" s="22">
        <v>44</v>
      </c>
      <c r="M363" s="22" t="s">
        <v>676</v>
      </c>
      <c r="N363" s="22" t="s">
        <v>677</v>
      </c>
    </row>
    <row r="364" spans="1:14">
      <c r="A364" s="335">
        <v>357</v>
      </c>
      <c r="B364" s="39" t="str">
        <f t="shared" si="50"/>
        <v>α lyr</v>
      </c>
      <c r="C364" s="39" t="str">
        <f t="shared" si="51"/>
        <v>μ 57</v>
      </c>
      <c r="F364" s="41" t="s">
        <v>3834</v>
      </c>
      <c r="G364" s="22">
        <v>19</v>
      </c>
      <c r="H364" s="22">
        <v>39</v>
      </c>
      <c r="I364" s="22">
        <v>22.6</v>
      </c>
      <c r="J364" s="22">
        <v>30</v>
      </c>
      <c r="K364" s="22">
        <v>9</v>
      </c>
      <c r="L364" s="22">
        <v>12</v>
      </c>
      <c r="M364" s="22" t="s">
        <v>3836</v>
      </c>
      <c r="N364" s="22" t="s">
        <v>3835</v>
      </c>
    </row>
    <row r="365" spans="1:14">
      <c r="A365" s="335">
        <v>358</v>
      </c>
      <c r="B365" s="39" t="str">
        <f t="shared" si="50"/>
        <v>α lyr</v>
      </c>
      <c r="C365" s="39" t="str">
        <f t="shared" si="51"/>
        <v>μ 57</v>
      </c>
      <c r="F365" s="27" t="s">
        <v>2128</v>
      </c>
      <c r="G365" s="26"/>
      <c r="H365" s="26"/>
      <c r="I365" s="26"/>
      <c r="J365" s="26"/>
      <c r="K365" s="26"/>
      <c r="L365" s="26"/>
      <c r="M365" s="26" t="s">
        <v>678</v>
      </c>
      <c r="N365" s="26" t="s">
        <v>679</v>
      </c>
    </row>
    <row r="366" spans="1:14">
      <c r="A366" s="335">
        <v>359</v>
      </c>
      <c r="B366" s="39" t="str">
        <f t="shared" si="50"/>
        <v>α lyr</v>
      </c>
      <c r="C366" s="39" t="str">
        <f t="shared" si="51"/>
        <v>μ 57</v>
      </c>
      <c r="F366" s="25" t="s">
        <v>2129</v>
      </c>
      <c r="G366" s="22">
        <v>5</v>
      </c>
      <c r="H366" s="22">
        <v>32</v>
      </c>
      <c r="I366" s="22">
        <v>43.8</v>
      </c>
      <c r="J366" s="22">
        <v>-17</v>
      </c>
      <c r="K366" s="22">
        <v>-49</v>
      </c>
      <c r="L366" s="22">
        <v>-20</v>
      </c>
      <c r="M366" s="22" t="s">
        <v>680</v>
      </c>
      <c r="N366" s="22" t="s">
        <v>681</v>
      </c>
    </row>
    <row r="367" spans="1:14">
      <c r="A367" s="335">
        <v>360</v>
      </c>
      <c r="B367" s="39" t="str">
        <f t="shared" si="50"/>
        <v>α lyr</v>
      </c>
      <c r="C367" s="39" t="str">
        <f t="shared" si="51"/>
        <v>μ 57</v>
      </c>
      <c r="F367" s="25" t="s">
        <v>2130</v>
      </c>
      <c r="G367" s="22">
        <v>5</v>
      </c>
      <c r="H367" s="22">
        <v>28</v>
      </c>
      <c r="I367" s="22">
        <v>14.7</v>
      </c>
      <c r="J367" s="22">
        <v>-20</v>
      </c>
      <c r="K367" s="22">
        <v>-45</v>
      </c>
      <c r="L367" s="22">
        <v>-34</v>
      </c>
      <c r="M367" s="22" t="s">
        <v>682</v>
      </c>
      <c r="N367" s="22" t="s">
        <v>683</v>
      </c>
    </row>
    <row r="368" spans="1:14">
      <c r="A368" s="335">
        <v>361</v>
      </c>
      <c r="B368" s="39" t="str">
        <f t="shared" si="50"/>
        <v>α lyr</v>
      </c>
      <c r="C368" s="39" t="str">
        <f t="shared" si="51"/>
        <v>μ 57</v>
      </c>
      <c r="F368" s="25" t="s">
        <v>2131</v>
      </c>
      <c r="G368" s="22">
        <v>5</v>
      </c>
      <c r="H368" s="22">
        <v>44</v>
      </c>
      <c r="I368" s="22">
        <v>27.8</v>
      </c>
      <c r="J368" s="22">
        <v>-22</v>
      </c>
      <c r="K368" s="22">
        <v>-26</v>
      </c>
      <c r="L368" s="22">
        <v>-54</v>
      </c>
      <c r="M368" s="22" t="s">
        <v>684</v>
      </c>
      <c r="N368" s="22" t="s">
        <v>685</v>
      </c>
    </row>
    <row r="369" spans="1:14">
      <c r="A369" s="335">
        <v>362</v>
      </c>
      <c r="B369" s="39" t="str">
        <f t="shared" si="50"/>
        <v>α lyr</v>
      </c>
      <c r="C369" s="39" t="str">
        <f t="shared" si="51"/>
        <v>μ 57</v>
      </c>
      <c r="F369" s="25" t="s">
        <v>2132</v>
      </c>
      <c r="G369" s="22">
        <v>5</v>
      </c>
      <c r="H369" s="22">
        <v>51</v>
      </c>
      <c r="I369" s="22">
        <v>19.3</v>
      </c>
      <c r="J369" s="22">
        <v>-20</v>
      </c>
      <c r="K369" s="22">
        <v>-52</v>
      </c>
      <c r="L369" s="22">
        <v>-45</v>
      </c>
      <c r="M369" s="22" t="s">
        <v>686</v>
      </c>
      <c r="N369" s="22" t="s">
        <v>687</v>
      </c>
    </row>
    <row r="370" spans="1:14">
      <c r="A370" s="335">
        <v>363</v>
      </c>
      <c r="B370" s="39" t="str">
        <f t="shared" si="50"/>
        <v>α lyr</v>
      </c>
      <c r="C370" s="39" t="str">
        <f t="shared" si="51"/>
        <v>μ 57</v>
      </c>
      <c r="F370" s="25" t="s">
        <v>2133</v>
      </c>
      <c r="G370" s="22">
        <v>5</v>
      </c>
      <c r="H370" s="22">
        <v>5</v>
      </c>
      <c r="I370" s="22">
        <v>27.7</v>
      </c>
      <c r="J370" s="22">
        <v>-22</v>
      </c>
      <c r="K370" s="22">
        <v>-22</v>
      </c>
      <c r="L370" s="22">
        <v>-16</v>
      </c>
      <c r="M370" s="22" t="s">
        <v>688</v>
      </c>
      <c r="N370" s="22" t="s">
        <v>689</v>
      </c>
    </row>
    <row r="371" spans="1:14">
      <c r="A371" s="335">
        <v>364</v>
      </c>
      <c r="B371" s="39" t="str">
        <f t="shared" si="50"/>
        <v>α lyr</v>
      </c>
      <c r="C371" s="39" t="str">
        <f t="shared" si="51"/>
        <v>μ 57</v>
      </c>
      <c r="F371" s="25" t="s">
        <v>2134</v>
      </c>
      <c r="G371" s="22">
        <v>5</v>
      </c>
      <c r="H371" s="22">
        <v>46</v>
      </c>
      <c r="I371" s="22">
        <v>57.3</v>
      </c>
      <c r="J371" s="22">
        <v>-14</v>
      </c>
      <c r="K371" s="22">
        <v>-49</v>
      </c>
      <c r="L371" s="22">
        <v>-19</v>
      </c>
      <c r="M371" s="22" t="s">
        <v>690</v>
      </c>
      <c r="N371" s="22" t="s">
        <v>691</v>
      </c>
    </row>
    <row r="372" spans="1:14">
      <c r="A372" s="335">
        <v>365</v>
      </c>
      <c r="B372" s="39" t="str">
        <f t="shared" si="50"/>
        <v>α lyr</v>
      </c>
      <c r="C372" s="39" t="str">
        <f t="shared" si="51"/>
        <v>μ 57</v>
      </c>
      <c r="F372" s="25" t="s">
        <v>2135</v>
      </c>
      <c r="G372" s="22">
        <v>5</v>
      </c>
      <c r="H372" s="22">
        <v>56</v>
      </c>
      <c r="I372" s="22">
        <v>24.3</v>
      </c>
      <c r="J372" s="22">
        <v>-14</v>
      </c>
      <c r="K372" s="22">
        <v>-10</v>
      </c>
      <c r="L372" s="22">
        <v>-4</v>
      </c>
      <c r="M372" s="22" t="s">
        <v>692</v>
      </c>
      <c r="N372" s="22" t="s">
        <v>693</v>
      </c>
    </row>
    <row r="373" spans="1:14">
      <c r="A373" s="335">
        <v>366</v>
      </c>
      <c r="B373" s="39" t="str">
        <f t="shared" si="50"/>
        <v>α lyr</v>
      </c>
      <c r="C373" s="39" t="str">
        <f t="shared" si="51"/>
        <v>μ 57</v>
      </c>
      <c r="F373" s="25" t="s">
        <v>2136</v>
      </c>
      <c r="G373" s="22">
        <v>5</v>
      </c>
      <c r="H373" s="22">
        <v>12</v>
      </c>
      <c r="I373" s="22">
        <v>55.9</v>
      </c>
      <c r="J373" s="22">
        <v>-16</v>
      </c>
      <c r="K373" s="22">
        <v>-12</v>
      </c>
      <c r="L373" s="22">
        <v>-20</v>
      </c>
      <c r="M373" s="22" t="s">
        <v>694</v>
      </c>
      <c r="N373" s="22" t="s">
        <v>695</v>
      </c>
    </row>
    <row r="374" spans="1:14">
      <c r="A374" s="335">
        <v>367</v>
      </c>
      <c r="B374" s="39" t="str">
        <f t="shared" si="50"/>
        <v>α lyr</v>
      </c>
      <c r="C374" s="39" t="str">
        <f t="shared" si="51"/>
        <v>μ 57</v>
      </c>
      <c r="F374" s="27" t="s">
        <v>697</v>
      </c>
      <c r="G374" s="26"/>
      <c r="H374" s="26"/>
      <c r="I374" s="26"/>
      <c r="J374" s="26"/>
      <c r="K374" s="26"/>
      <c r="L374" s="26"/>
      <c r="M374" s="26" t="s">
        <v>696</v>
      </c>
      <c r="N374" s="26" t="s">
        <v>697</v>
      </c>
    </row>
    <row r="375" spans="1:14">
      <c r="A375" s="335">
        <v>368</v>
      </c>
      <c r="B375" s="39" t="str">
        <f t="shared" si="50"/>
        <v>α lyr</v>
      </c>
      <c r="C375" s="39" t="str">
        <f t="shared" si="51"/>
        <v>μ 57</v>
      </c>
      <c r="F375" s="25" t="s">
        <v>2137</v>
      </c>
      <c r="G375" s="22">
        <v>10</v>
      </c>
      <c r="H375" s="22">
        <v>8</v>
      </c>
      <c r="I375" s="22">
        <v>22.3</v>
      </c>
      <c r="J375" s="22">
        <v>11</v>
      </c>
      <c r="K375" s="22">
        <v>58</v>
      </c>
      <c r="L375" s="22">
        <v>2</v>
      </c>
      <c r="M375" s="22" t="s">
        <v>698</v>
      </c>
      <c r="N375" s="22" t="s">
        <v>699</v>
      </c>
    </row>
    <row r="376" spans="1:14">
      <c r="A376" s="335">
        <v>369</v>
      </c>
      <c r="B376" s="39" t="str">
        <f t="shared" si="50"/>
        <v>α lyr</v>
      </c>
      <c r="C376" s="39" t="str">
        <f t="shared" si="51"/>
        <v>μ 57</v>
      </c>
      <c r="F376" s="25" t="s">
        <v>701</v>
      </c>
      <c r="G376" s="22">
        <v>11</v>
      </c>
      <c r="H376" s="22">
        <v>49</v>
      </c>
      <c r="I376" s="22">
        <v>3.6</v>
      </c>
      <c r="J376" s="22">
        <v>14</v>
      </c>
      <c r="K376" s="22">
        <v>34</v>
      </c>
      <c r="L376" s="22">
        <v>19</v>
      </c>
      <c r="M376" s="22" t="s">
        <v>700</v>
      </c>
      <c r="N376" s="22" t="s">
        <v>701</v>
      </c>
    </row>
    <row r="377" spans="1:14">
      <c r="A377" s="335">
        <v>370</v>
      </c>
      <c r="B377" s="39" t="str">
        <f t="shared" si="50"/>
        <v>α lyr</v>
      </c>
      <c r="C377" s="39" t="str">
        <f t="shared" si="51"/>
        <v>μ 57</v>
      </c>
      <c r="F377" s="25" t="s">
        <v>2138</v>
      </c>
      <c r="G377" s="22">
        <v>10</v>
      </c>
      <c r="H377" s="22">
        <v>19</v>
      </c>
      <c r="I377" s="22">
        <v>58.4</v>
      </c>
      <c r="J377" s="22">
        <v>19</v>
      </c>
      <c r="K377" s="22">
        <v>50</v>
      </c>
      <c r="L377" s="22">
        <v>29</v>
      </c>
      <c r="M377" s="22" t="s">
        <v>702</v>
      </c>
      <c r="N377" s="22" t="s">
        <v>703</v>
      </c>
    </row>
    <row r="378" spans="1:14">
      <c r="A378" s="335">
        <v>371</v>
      </c>
      <c r="B378" s="39" t="str">
        <f t="shared" si="50"/>
        <v>α lyr</v>
      </c>
      <c r="C378" s="39" t="str">
        <f t="shared" si="51"/>
        <v>μ 57</v>
      </c>
      <c r="F378" s="25" t="s">
        <v>705</v>
      </c>
      <c r="G378" s="22">
        <v>11</v>
      </c>
      <c r="H378" s="22">
        <v>14</v>
      </c>
      <c r="I378" s="22">
        <v>6.6</v>
      </c>
      <c r="J378" s="22">
        <v>20</v>
      </c>
      <c r="K378" s="22">
        <v>31</v>
      </c>
      <c r="L378" s="22">
        <v>25</v>
      </c>
      <c r="M378" s="22" t="s">
        <v>704</v>
      </c>
      <c r="N378" s="22" t="s">
        <v>705</v>
      </c>
    </row>
    <row r="379" spans="1:14">
      <c r="A379" s="335">
        <v>372</v>
      </c>
      <c r="B379" s="39" t="str">
        <f t="shared" si="50"/>
        <v>α lyr</v>
      </c>
      <c r="C379" s="39" t="str">
        <f t="shared" si="51"/>
        <v>μ 57</v>
      </c>
      <c r="F379" s="25" t="s">
        <v>707</v>
      </c>
      <c r="G379" s="22">
        <v>9</v>
      </c>
      <c r="H379" s="22">
        <v>45</v>
      </c>
      <c r="I379" s="22">
        <v>51.1</v>
      </c>
      <c r="J379" s="22">
        <v>23</v>
      </c>
      <c r="K379" s="22">
        <v>46</v>
      </c>
      <c r="L379" s="22">
        <v>27</v>
      </c>
      <c r="M379" s="22" t="s">
        <v>706</v>
      </c>
      <c r="N379" s="22" t="s">
        <v>707</v>
      </c>
    </row>
    <row r="380" spans="1:14">
      <c r="A380" s="335">
        <v>373</v>
      </c>
      <c r="B380" s="39" t="str">
        <f t="shared" si="50"/>
        <v>α lyr</v>
      </c>
      <c r="C380" s="39" t="str">
        <f t="shared" si="51"/>
        <v>μ 57</v>
      </c>
      <c r="F380" s="25" t="s">
        <v>709</v>
      </c>
      <c r="G380" s="22">
        <v>10</v>
      </c>
      <c r="H380" s="22">
        <v>16</v>
      </c>
      <c r="I380" s="22">
        <v>41.4</v>
      </c>
      <c r="J380" s="22">
        <v>23</v>
      </c>
      <c r="K380" s="22">
        <v>25</v>
      </c>
      <c r="L380" s="22">
        <v>2</v>
      </c>
      <c r="M380" s="22" t="s">
        <v>708</v>
      </c>
      <c r="N380" s="22" t="s">
        <v>709</v>
      </c>
    </row>
    <row r="381" spans="1:14">
      <c r="A381" s="335">
        <v>374</v>
      </c>
      <c r="B381" s="39" t="str">
        <f t="shared" si="50"/>
        <v>α lyr</v>
      </c>
      <c r="C381" s="39" t="str">
        <f t="shared" si="51"/>
        <v>μ 57</v>
      </c>
      <c r="F381" s="25" t="s">
        <v>711</v>
      </c>
      <c r="G381" s="22">
        <v>10</v>
      </c>
      <c r="H381" s="22">
        <v>7</v>
      </c>
      <c r="I381" s="22">
        <v>20</v>
      </c>
      <c r="J381" s="22">
        <v>16</v>
      </c>
      <c r="K381" s="22">
        <v>45</v>
      </c>
      <c r="L381" s="22">
        <v>46</v>
      </c>
      <c r="M381" s="22" t="s">
        <v>710</v>
      </c>
      <c r="N381" s="22" t="s">
        <v>711</v>
      </c>
    </row>
    <row r="382" spans="1:14">
      <c r="A382" s="335">
        <v>375</v>
      </c>
      <c r="B382" s="39" t="str">
        <f t="shared" si="50"/>
        <v>α lyr</v>
      </c>
      <c r="C382" s="39" t="str">
        <f t="shared" si="51"/>
        <v>μ 57</v>
      </c>
      <c r="F382" s="25" t="s">
        <v>713</v>
      </c>
      <c r="G382" s="22">
        <v>11</v>
      </c>
      <c r="H382" s="22">
        <v>14</v>
      </c>
      <c r="I382" s="22">
        <v>14.4</v>
      </c>
      <c r="J382" s="22">
        <v>15</v>
      </c>
      <c r="K382" s="22">
        <v>25</v>
      </c>
      <c r="L382" s="22">
        <v>46</v>
      </c>
      <c r="M382" s="22" t="s">
        <v>712</v>
      </c>
      <c r="N382" s="22" t="s">
        <v>713</v>
      </c>
    </row>
    <row r="383" spans="1:14">
      <c r="A383" s="335">
        <v>376</v>
      </c>
      <c r="B383" s="39" t="str">
        <f t="shared" si="50"/>
        <v>α lyr</v>
      </c>
      <c r="C383" s="39" t="str">
        <f t="shared" si="51"/>
        <v>μ 57</v>
      </c>
      <c r="F383" s="25" t="s">
        <v>715</v>
      </c>
      <c r="G383" s="22">
        <v>11</v>
      </c>
      <c r="H383" s="22">
        <v>23</v>
      </c>
      <c r="I383" s="22">
        <v>55.5</v>
      </c>
      <c r="J383" s="22">
        <v>10</v>
      </c>
      <c r="K383" s="22">
        <v>31</v>
      </c>
      <c r="L383" s="22">
        <v>46</v>
      </c>
      <c r="M383" s="22" t="s">
        <v>714</v>
      </c>
      <c r="N383" s="22" t="s">
        <v>715</v>
      </c>
    </row>
    <row r="384" spans="1:14">
      <c r="A384" s="335">
        <v>377</v>
      </c>
      <c r="B384" s="39" t="str">
        <f t="shared" si="50"/>
        <v>α lyr</v>
      </c>
      <c r="C384" s="39" t="str">
        <f t="shared" si="51"/>
        <v>μ 57</v>
      </c>
      <c r="F384" s="41" t="s">
        <v>3783</v>
      </c>
      <c r="G384" s="22">
        <v>9</v>
      </c>
      <c r="H384" s="22">
        <v>24</v>
      </c>
      <c r="I384" s="22">
        <v>39.200000000000003</v>
      </c>
      <c r="J384" s="22">
        <v>26</v>
      </c>
      <c r="K384" s="22">
        <v>10</v>
      </c>
      <c r="L384" s="22">
        <v>56</v>
      </c>
      <c r="M384" s="22" t="s">
        <v>3784</v>
      </c>
      <c r="N384" s="22" t="s">
        <v>3956</v>
      </c>
    </row>
    <row r="385" spans="1:14">
      <c r="A385" s="335">
        <v>378</v>
      </c>
      <c r="B385" s="39" t="str">
        <f t="shared" si="50"/>
        <v>α lyr</v>
      </c>
      <c r="C385" s="39" t="str">
        <f t="shared" si="51"/>
        <v>μ 57</v>
      </c>
      <c r="F385" s="25" t="s">
        <v>717</v>
      </c>
      <c r="G385" s="22">
        <v>9</v>
      </c>
      <c r="H385" s="22">
        <v>31</v>
      </c>
      <c r="I385" s="22">
        <v>43.2</v>
      </c>
      <c r="J385" s="22">
        <v>22</v>
      </c>
      <c r="K385" s="22">
        <v>58</v>
      </c>
      <c r="L385" s="22">
        <v>5</v>
      </c>
      <c r="M385" s="22" t="s">
        <v>716</v>
      </c>
      <c r="N385" s="22" t="s">
        <v>717</v>
      </c>
    </row>
    <row r="386" spans="1:14">
      <c r="A386" s="335">
        <v>379</v>
      </c>
      <c r="B386" s="39" t="str">
        <f t="shared" si="50"/>
        <v>α lyr</v>
      </c>
      <c r="C386" s="39" t="str">
        <f t="shared" si="51"/>
        <v>μ 57</v>
      </c>
      <c r="F386" s="25" t="s">
        <v>719</v>
      </c>
      <c r="G386" s="22">
        <v>9</v>
      </c>
      <c r="H386" s="22">
        <v>52</v>
      </c>
      <c r="I386" s="22">
        <v>45.8</v>
      </c>
      <c r="J386" s="22">
        <v>26</v>
      </c>
      <c r="K386" s="22">
        <v>0</v>
      </c>
      <c r="L386" s="22">
        <v>25</v>
      </c>
      <c r="M386" s="22" t="s">
        <v>718</v>
      </c>
      <c r="N386" s="22" t="s">
        <v>719</v>
      </c>
    </row>
    <row r="387" spans="1:14">
      <c r="A387" s="335">
        <v>380</v>
      </c>
      <c r="B387" s="39" t="str">
        <f t="shared" si="50"/>
        <v>α lyr</v>
      </c>
      <c r="C387" s="39" t="str">
        <f t="shared" si="51"/>
        <v>μ 57</v>
      </c>
      <c r="F387" s="25" t="s">
        <v>721</v>
      </c>
      <c r="G387" s="22">
        <v>9</v>
      </c>
      <c r="H387" s="22">
        <v>58</v>
      </c>
      <c r="I387" s="22">
        <v>13.4</v>
      </c>
      <c r="J387" s="22">
        <v>12</v>
      </c>
      <c r="K387" s="22">
        <v>26</v>
      </c>
      <c r="L387" s="22">
        <v>41</v>
      </c>
      <c r="M387" s="22" t="s">
        <v>720</v>
      </c>
      <c r="N387" s="22" t="s">
        <v>721</v>
      </c>
    </row>
    <row r="388" spans="1:14">
      <c r="A388" s="335">
        <v>381</v>
      </c>
      <c r="B388" s="39" t="str">
        <f t="shared" si="50"/>
        <v>α lyr</v>
      </c>
      <c r="C388" s="39" t="str">
        <f t="shared" si="51"/>
        <v>μ 57</v>
      </c>
      <c r="F388" s="25" t="s">
        <v>723</v>
      </c>
      <c r="G388" s="22">
        <v>10</v>
      </c>
      <c r="H388" s="22">
        <v>32</v>
      </c>
      <c r="I388" s="22">
        <v>48.7</v>
      </c>
      <c r="J388" s="22">
        <v>9</v>
      </c>
      <c r="K388" s="22">
        <v>18</v>
      </c>
      <c r="L388" s="22">
        <v>24</v>
      </c>
      <c r="M388" s="22" t="s">
        <v>722</v>
      </c>
      <c r="N388" s="22" t="s">
        <v>723</v>
      </c>
    </row>
    <row r="389" spans="1:14">
      <c r="A389" s="335">
        <v>382</v>
      </c>
      <c r="B389" s="39" t="str">
        <f t="shared" si="50"/>
        <v>α lyr</v>
      </c>
      <c r="C389" s="39" t="str">
        <f t="shared" si="51"/>
        <v>μ 57</v>
      </c>
      <c r="F389" s="25" t="s">
        <v>725</v>
      </c>
      <c r="G389" s="22">
        <v>11</v>
      </c>
      <c r="H389" s="22">
        <v>21</v>
      </c>
      <c r="I389" s="22">
        <v>8.1999999999999993</v>
      </c>
      <c r="J389" s="22">
        <v>6</v>
      </c>
      <c r="K389" s="22">
        <v>1</v>
      </c>
      <c r="L389" s="22">
        <v>46</v>
      </c>
      <c r="M389" s="22" t="s">
        <v>724</v>
      </c>
      <c r="N389" s="22" t="s">
        <v>725</v>
      </c>
    </row>
    <row r="390" spans="1:14">
      <c r="A390" s="335">
        <v>383</v>
      </c>
      <c r="B390" s="39" t="str">
        <f t="shared" ref="B390:B453" si="52">IF(B389=F390,A390,B389)</f>
        <v>α lyr</v>
      </c>
      <c r="C390" s="39" t="str">
        <f t="shared" ref="C390:C453" si="53" xml:space="preserve"> IF(C389=F390,A390,C389)</f>
        <v>μ 57</v>
      </c>
      <c r="F390" s="41" t="s">
        <v>3796</v>
      </c>
      <c r="G390" s="22">
        <v>11</v>
      </c>
      <c r="H390" s="22">
        <v>16</v>
      </c>
      <c r="I390" s="22">
        <v>39.700000000000003</v>
      </c>
      <c r="J390" s="22">
        <v>-3</v>
      </c>
      <c r="K390" s="22">
        <v>-39</v>
      </c>
      <c r="L390" s="22">
        <v>-6</v>
      </c>
      <c r="M390" s="22" t="s">
        <v>3797</v>
      </c>
      <c r="N390" s="22" t="s">
        <v>3798</v>
      </c>
    </row>
    <row r="391" spans="1:14">
      <c r="A391" s="335">
        <v>384</v>
      </c>
      <c r="B391" s="39" t="str">
        <f t="shared" si="52"/>
        <v>α lyr</v>
      </c>
      <c r="C391" s="39" t="str">
        <f t="shared" si="53"/>
        <v>μ 57</v>
      </c>
      <c r="F391" s="27" t="s">
        <v>2139</v>
      </c>
      <c r="G391" s="26"/>
      <c r="H391" s="26"/>
      <c r="I391" s="26"/>
      <c r="J391" s="26"/>
      <c r="K391" s="26"/>
      <c r="L391" s="26"/>
      <c r="M391" s="26" t="s">
        <v>726</v>
      </c>
      <c r="N391" s="30" t="s">
        <v>727</v>
      </c>
    </row>
    <row r="392" spans="1:14">
      <c r="A392" s="335">
        <v>385</v>
      </c>
      <c r="B392" s="39" t="str">
        <f t="shared" si="52"/>
        <v>α lyr</v>
      </c>
      <c r="C392" s="39" t="str">
        <f t="shared" si="53"/>
        <v>μ 57</v>
      </c>
      <c r="F392" s="25" t="s">
        <v>2140</v>
      </c>
      <c r="G392" s="22">
        <v>9</v>
      </c>
      <c r="H392" s="22">
        <v>34</v>
      </c>
      <c r="I392" s="22">
        <v>13.4</v>
      </c>
      <c r="J392" s="22">
        <v>36</v>
      </c>
      <c r="K392" s="22">
        <v>23</v>
      </c>
      <c r="L392" s="22">
        <v>51</v>
      </c>
      <c r="M392" s="22" t="s">
        <v>728</v>
      </c>
      <c r="N392" s="23" t="s">
        <v>729</v>
      </c>
    </row>
    <row r="393" spans="1:14">
      <c r="A393" s="335">
        <v>386</v>
      </c>
      <c r="B393" s="39" t="str">
        <f t="shared" si="52"/>
        <v>α lyr</v>
      </c>
      <c r="C393" s="39" t="str">
        <f t="shared" si="53"/>
        <v>μ 57</v>
      </c>
      <c r="F393" s="25" t="s">
        <v>2141</v>
      </c>
      <c r="G393" s="22">
        <v>10</v>
      </c>
      <c r="H393" s="22">
        <v>7</v>
      </c>
      <c r="I393" s="22">
        <v>25.8</v>
      </c>
      <c r="J393" s="22">
        <v>35</v>
      </c>
      <c r="K393" s="22">
        <v>14</v>
      </c>
      <c r="L393" s="22">
        <v>41</v>
      </c>
      <c r="M393" s="22" t="s">
        <v>730</v>
      </c>
      <c r="N393" s="23" t="s">
        <v>731</v>
      </c>
    </row>
    <row r="394" spans="1:14">
      <c r="A394" s="335">
        <v>387</v>
      </c>
      <c r="B394" s="39" t="str">
        <f t="shared" si="52"/>
        <v>α lyr</v>
      </c>
      <c r="C394" s="39" t="str">
        <f t="shared" si="53"/>
        <v>μ 57</v>
      </c>
      <c r="F394" s="41" t="s">
        <v>3780</v>
      </c>
      <c r="G394" s="22">
        <v>10</v>
      </c>
      <c r="H394" s="22">
        <v>43</v>
      </c>
      <c r="I394" s="22">
        <v>25</v>
      </c>
      <c r="J394" s="22">
        <v>23</v>
      </c>
      <c r="K394" s="22">
        <v>11</v>
      </c>
      <c r="L394" s="22">
        <v>18</v>
      </c>
      <c r="M394" s="22" t="s">
        <v>3781</v>
      </c>
      <c r="N394" s="23" t="s">
        <v>3782</v>
      </c>
    </row>
    <row r="395" spans="1:14">
      <c r="A395" s="335">
        <v>388</v>
      </c>
      <c r="B395" s="39" t="str">
        <f t="shared" si="52"/>
        <v>α lyr</v>
      </c>
      <c r="C395" s="39" t="str">
        <f t="shared" si="53"/>
        <v>μ 57</v>
      </c>
      <c r="F395" s="25" t="s">
        <v>2142</v>
      </c>
      <c r="G395" s="22">
        <v>10</v>
      </c>
      <c r="H395" s="22">
        <v>53</v>
      </c>
      <c r="I395" s="22">
        <v>18.7</v>
      </c>
      <c r="J395" s="22">
        <v>34</v>
      </c>
      <c r="K395" s="22">
        <v>12</v>
      </c>
      <c r="L395" s="22">
        <v>54</v>
      </c>
      <c r="M395" s="22" t="s">
        <v>732</v>
      </c>
      <c r="N395" s="23" t="s">
        <v>733</v>
      </c>
    </row>
    <row r="396" spans="1:14">
      <c r="A396" s="335">
        <v>389</v>
      </c>
      <c r="B396" s="39" t="str">
        <f t="shared" si="52"/>
        <v>α lyr</v>
      </c>
      <c r="C396" s="39" t="str">
        <f t="shared" si="53"/>
        <v>μ 57</v>
      </c>
      <c r="F396" s="25" t="s">
        <v>2143</v>
      </c>
      <c r="G396" s="22">
        <v>10</v>
      </c>
      <c r="H396" s="22">
        <v>27</v>
      </c>
      <c r="I396" s="22">
        <v>53</v>
      </c>
      <c r="J396" s="22">
        <v>36</v>
      </c>
      <c r="K396" s="22">
        <v>42</v>
      </c>
      <c r="L396" s="22">
        <v>26</v>
      </c>
      <c r="M396" s="22" t="s">
        <v>734</v>
      </c>
      <c r="N396" s="23" t="s">
        <v>735</v>
      </c>
    </row>
    <row r="397" spans="1:14">
      <c r="A397" s="335">
        <v>390</v>
      </c>
      <c r="B397" s="39" t="str">
        <f t="shared" si="52"/>
        <v>α lyr</v>
      </c>
      <c r="C397" s="39" t="str">
        <f t="shared" si="53"/>
        <v>μ 57</v>
      </c>
      <c r="F397" s="27" t="s">
        <v>2144</v>
      </c>
      <c r="G397" s="26"/>
      <c r="H397" s="26"/>
      <c r="I397" s="26"/>
      <c r="J397" s="26"/>
      <c r="K397" s="26"/>
      <c r="L397" s="26"/>
      <c r="M397" s="26" t="s">
        <v>736</v>
      </c>
      <c r="N397" s="26" t="s">
        <v>737</v>
      </c>
    </row>
    <row r="398" spans="1:14">
      <c r="A398" s="335">
        <v>391</v>
      </c>
      <c r="B398" s="39" t="str">
        <f t="shared" si="52"/>
        <v>α lyr</v>
      </c>
      <c r="C398" s="39" t="str">
        <f t="shared" si="53"/>
        <v>μ 57</v>
      </c>
      <c r="F398" s="25" t="s">
        <v>3777</v>
      </c>
      <c r="G398" s="22">
        <v>9</v>
      </c>
      <c r="H398" s="22">
        <v>21</v>
      </c>
      <c r="I398" s="22">
        <v>3.3</v>
      </c>
      <c r="J398" s="22">
        <v>34</v>
      </c>
      <c r="K398" s="22">
        <v>23</v>
      </c>
      <c r="L398" s="22">
        <v>33</v>
      </c>
      <c r="M398" s="22" t="s">
        <v>738</v>
      </c>
      <c r="N398" s="22" t="s">
        <v>739</v>
      </c>
    </row>
    <row r="399" spans="1:14">
      <c r="A399" s="335">
        <v>392</v>
      </c>
      <c r="B399" s="39" t="str">
        <f t="shared" si="52"/>
        <v>α lyr</v>
      </c>
      <c r="C399" s="39" t="str">
        <f t="shared" si="53"/>
        <v>μ 57</v>
      </c>
      <c r="F399" s="27" t="s">
        <v>2145</v>
      </c>
      <c r="G399" s="26"/>
      <c r="H399" s="26"/>
      <c r="I399" s="26"/>
      <c r="J399" s="26"/>
      <c r="K399" s="26"/>
      <c r="L399" s="26"/>
      <c r="M399" s="26" t="s">
        <v>740</v>
      </c>
      <c r="N399" s="26" t="s">
        <v>741</v>
      </c>
    </row>
    <row r="400" spans="1:14">
      <c r="A400" s="335">
        <v>393</v>
      </c>
      <c r="B400" s="39" t="str">
        <f t="shared" si="52"/>
        <v>α lyr</v>
      </c>
      <c r="C400" s="39" t="str">
        <f t="shared" si="53"/>
        <v>μ 57</v>
      </c>
      <c r="F400" s="27" t="s">
        <v>2146</v>
      </c>
      <c r="G400" s="26"/>
      <c r="H400" s="26"/>
      <c r="I400" s="26"/>
      <c r="J400" s="26"/>
      <c r="K400" s="26"/>
      <c r="L400" s="26"/>
      <c r="M400" s="26" t="s">
        <v>742</v>
      </c>
      <c r="N400" s="26" t="s">
        <v>743</v>
      </c>
    </row>
    <row r="401" spans="1:14">
      <c r="A401" s="335">
        <v>394</v>
      </c>
      <c r="B401" s="39">
        <f t="shared" si="52"/>
        <v>394</v>
      </c>
      <c r="C401" s="39" t="str">
        <f t="shared" si="53"/>
        <v>μ 57</v>
      </c>
      <c r="F401" s="25" t="s">
        <v>2147</v>
      </c>
      <c r="G401" s="22">
        <v>18</v>
      </c>
      <c r="H401" s="22">
        <v>36</v>
      </c>
      <c r="I401" s="22">
        <v>56.3</v>
      </c>
      <c r="J401" s="22">
        <v>38</v>
      </c>
      <c r="K401" s="22">
        <v>47</v>
      </c>
      <c r="L401" s="22">
        <v>1</v>
      </c>
      <c r="M401" s="22" t="s">
        <v>744</v>
      </c>
      <c r="N401" s="22" t="s">
        <v>745</v>
      </c>
    </row>
    <row r="402" spans="1:14">
      <c r="A402" s="335">
        <v>395</v>
      </c>
      <c r="B402" s="39">
        <f t="shared" si="52"/>
        <v>394</v>
      </c>
      <c r="C402" s="39" t="str">
        <f t="shared" si="53"/>
        <v>μ 57</v>
      </c>
      <c r="F402" s="25" t="s">
        <v>2148</v>
      </c>
      <c r="G402" s="22">
        <v>18</v>
      </c>
      <c r="H402" s="22">
        <v>50</v>
      </c>
      <c r="I402" s="22">
        <v>4.8</v>
      </c>
      <c r="J402" s="22">
        <v>33</v>
      </c>
      <c r="K402" s="22">
        <v>21</v>
      </c>
      <c r="L402" s="22">
        <v>46</v>
      </c>
      <c r="M402" s="22" t="s">
        <v>746</v>
      </c>
      <c r="N402" s="22" t="s">
        <v>747</v>
      </c>
    </row>
    <row r="403" spans="1:14">
      <c r="A403" s="335">
        <v>396</v>
      </c>
      <c r="B403" s="39">
        <f t="shared" si="52"/>
        <v>394</v>
      </c>
      <c r="C403" s="39" t="str">
        <f t="shared" si="53"/>
        <v>μ 57</v>
      </c>
      <c r="F403" s="25" t="s">
        <v>2149</v>
      </c>
      <c r="G403" s="22">
        <v>18</v>
      </c>
      <c r="H403" s="22">
        <v>58</v>
      </c>
      <c r="I403" s="22">
        <v>55.6</v>
      </c>
      <c r="J403" s="22">
        <v>32</v>
      </c>
      <c r="K403" s="22">
        <v>41</v>
      </c>
      <c r="L403" s="22">
        <v>22</v>
      </c>
      <c r="M403" s="22" t="s">
        <v>748</v>
      </c>
      <c r="N403" s="22" t="s">
        <v>749</v>
      </c>
    </row>
    <row r="404" spans="1:14">
      <c r="A404" s="335">
        <v>397</v>
      </c>
      <c r="B404" s="39">
        <f t="shared" si="52"/>
        <v>394</v>
      </c>
      <c r="C404" s="39" t="str">
        <f t="shared" si="53"/>
        <v>μ 57</v>
      </c>
      <c r="F404" s="25" t="s">
        <v>2150</v>
      </c>
      <c r="G404" s="22">
        <v>18</v>
      </c>
      <c r="H404" s="22">
        <v>54</v>
      </c>
      <c r="I404" s="22">
        <v>30.3</v>
      </c>
      <c r="J404" s="22">
        <v>36</v>
      </c>
      <c r="K404" s="22">
        <v>53</v>
      </c>
      <c r="L404" s="22">
        <v>55</v>
      </c>
      <c r="M404" s="22" t="s">
        <v>750</v>
      </c>
      <c r="N404" s="22" t="s">
        <v>751</v>
      </c>
    </row>
    <row r="405" spans="1:14">
      <c r="A405" s="335">
        <v>398</v>
      </c>
      <c r="B405" s="39">
        <f t="shared" si="52"/>
        <v>394</v>
      </c>
      <c r="C405" s="39" t="str">
        <f t="shared" si="53"/>
        <v>μ 57</v>
      </c>
      <c r="F405" s="25" t="s">
        <v>2151</v>
      </c>
      <c r="G405" s="22">
        <v>18</v>
      </c>
      <c r="H405" s="22">
        <v>44</v>
      </c>
      <c r="I405" s="22">
        <v>20.3</v>
      </c>
      <c r="J405" s="22">
        <v>39</v>
      </c>
      <c r="K405" s="22">
        <v>40</v>
      </c>
      <c r="L405" s="22">
        <v>12</v>
      </c>
      <c r="M405" s="22" t="s">
        <v>752</v>
      </c>
      <c r="N405" s="22" t="s">
        <v>753</v>
      </c>
    </row>
    <row r="406" spans="1:14">
      <c r="A406" s="335">
        <v>399</v>
      </c>
      <c r="B406" s="39">
        <f t="shared" si="52"/>
        <v>394</v>
      </c>
      <c r="C406" s="39" t="str">
        <f t="shared" si="53"/>
        <v>μ 57</v>
      </c>
      <c r="F406" s="25" t="s">
        <v>2152</v>
      </c>
      <c r="G406" s="22">
        <v>18</v>
      </c>
      <c r="H406" s="22">
        <v>44</v>
      </c>
      <c r="I406" s="22">
        <v>46.4</v>
      </c>
      <c r="J406" s="22">
        <v>37</v>
      </c>
      <c r="K406" s="22">
        <v>36</v>
      </c>
      <c r="L406" s="22">
        <v>16</v>
      </c>
      <c r="M406" s="22" t="s">
        <v>754</v>
      </c>
      <c r="N406" s="22" t="s">
        <v>755</v>
      </c>
    </row>
    <row r="407" spans="1:14">
      <c r="A407" s="335">
        <v>400</v>
      </c>
      <c r="B407" s="39">
        <f t="shared" si="52"/>
        <v>394</v>
      </c>
      <c r="C407" s="39" t="str">
        <f t="shared" si="53"/>
        <v>μ 57</v>
      </c>
      <c r="F407" s="25" t="s">
        <v>2153</v>
      </c>
      <c r="G407" s="22">
        <v>19</v>
      </c>
      <c r="H407" s="22">
        <v>13</v>
      </c>
      <c r="I407" s="22">
        <v>45.5</v>
      </c>
      <c r="J407" s="22">
        <v>39</v>
      </c>
      <c r="K407" s="22">
        <v>8</v>
      </c>
      <c r="L407" s="22">
        <v>45</v>
      </c>
      <c r="M407" s="22" t="s">
        <v>756</v>
      </c>
      <c r="N407" s="22" t="s">
        <v>757</v>
      </c>
    </row>
    <row r="408" spans="1:14">
      <c r="A408" s="335">
        <v>401</v>
      </c>
      <c r="B408" s="39">
        <f t="shared" si="52"/>
        <v>394</v>
      </c>
      <c r="C408" s="39" t="str">
        <f t="shared" si="53"/>
        <v>μ 57</v>
      </c>
      <c r="F408" s="25" t="s">
        <v>2154</v>
      </c>
      <c r="G408" s="22">
        <v>19</v>
      </c>
      <c r="H408" s="22">
        <v>16</v>
      </c>
      <c r="I408" s="22">
        <v>22.1</v>
      </c>
      <c r="J408" s="22">
        <v>38</v>
      </c>
      <c r="K408" s="22">
        <v>8</v>
      </c>
      <c r="L408" s="22">
        <v>1</v>
      </c>
      <c r="M408" s="22" t="s">
        <v>758</v>
      </c>
      <c r="N408" s="22" t="s">
        <v>759</v>
      </c>
    </row>
    <row r="409" spans="1:14">
      <c r="A409" s="335">
        <v>402</v>
      </c>
      <c r="B409" s="39">
        <f t="shared" si="52"/>
        <v>394</v>
      </c>
      <c r="C409" s="39" t="str">
        <f t="shared" si="53"/>
        <v>μ 57</v>
      </c>
      <c r="F409" s="36" t="s">
        <v>2677</v>
      </c>
      <c r="G409" s="35"/>
      <c r="H409" s="35"/>
      <c r="I409" s="35"/>
      <c r="J409" s="35"/>
      <c r="K409" s="35"/>
      <c r="L409" s="35"/>
      <c r="M409" s="35" t="s">
        <v>293</v>
      </c>
      <c r="N409" s="35" t="s">
        <v>760</v>
      </c>
    </row>
    <row r="410" spans="1:14">
      <c r="A410" s="335">
        <v>403</v>
      </c>
      <c r="B410" s="39">
        <f t="shared" si="52"/>
        <v>394</v>
      </c>
      <c r="C410" s="39" t="str">
        <f t="shared" si="53"/>
        <v>μ 57</v>
      </c>
      <c r="F410" s="25" t="s">
        <v>2155</v>
      </c>
      <c r="G410" s="22">
        <v>5</v>
      </c>
      <c r="H410" s="22">
        <v>34</v>
      </c>
      <c r="I410" s="22">
        <v>31.9</v>
      </c>
      <c r="J410" s="22">
        <v>22</v>
      </c>
      <c r="K410" s="22">
        <v>0</v>
      </c>
      <c r="L410" s="22">
        <v>52</v>
      </c>
      <c r="M410" s="22" t="s">
        <v>761</v>
      </c>
      <c r="N410" s="22" t="s">
        <v>762</v>
      </c>
    </row>
    <row r="411" spans="1:14">
      <c r="A411" s="335">
        <v>404</v>
      </c>
      <c r="B411" s="39">
        <f t="shared" si="52"/>
        <v>394</v>
      </c>
      <c r="C411" s="39" t="str">
        <f t="shared" si="53"/>
        <v>μ 57</v>
      </c>
      <c r="F411" s="25" t="s">
        <v>2156</v>
      </c>
      <c r="G411" s="22">
        <v>21</v>
      </c>
      <c r="H411" s="22">
        <v>33</v>
      </c>
      <c r="I411" s="22">
        <v>27.2</v>
      </c>
      <c r="J411" s="22">
        <v>0</v>
      </c>
      <c r="K411" s="22">
        <v>-49</v>
      </c>
      <c r="L411" s="22">
        <v>-24</v>
      </c>
      <c r="M411" s="22" t="s">
        <v>763</v>
      </c>
      <c r="N411" s="22" t="s">
        <v>764</v>
      </c>
    </row>
    <row r="412" spans="1:14">
      <c r="A412" s="335">
        <v>405</v>
      </c>
      <c r="B412" s="39">
        <f t="shared" si="52"/>
        <v>394</v>
      </c>
      <c r="C412" s="39" t="str">
        <f t="shared" si="53"/>
        <v>μ 57</v>
      </c>
      <c r="F412" s="25" t="s">
        <v>2157</v>
      </c>
      <c r="G412" s="22">
        <v>13</v>
      </c>
      <c r="H412" s="22">
        <v>42</v>
      </c>
      <c r="I412" s="22">
        <v>11.6</v>
      </c>
      <c r="J412" s="22">
        <v>28</v>
      </c>
      <c r="K412" s="22">
        <v>22</v>
      </c>
      <c r="L412" s="22">
        <v>38</v>
      </c>
      <c r="M412" s="22" t="s">
        <v>765</v>
      </c>
      <c r="N412" s="22" t="s">
        <v>766</v>
      </c>
    </row>
    <row r="413" spans="1:14">
      <c r="A413" s="335">
        <v>406</v>
      </c>
      <c r="B413" s="39">
        <f t="shared" si="52"/>
        <v>394</v>
      </c>
      <c r="C413" s="39" t="str">
        <f t="shared" si="53"/>
        <v>μ 57</v>
      </c>
      <c r="F413" s="25" t="s">
        <v>2158</v>
      </c>
      <c r="G413" s="22">
        <v>16</v>
      </c>
      <c r="H413" s="22">
        <v>23</v>
      </c>
      <c r="I413" s="22">
        <v>35.200000000000003</v>
      </c>
      <c r="J413" s="22">
        <v>-26</v>
      </c>
      <c r="K413" s="22">
        <v>-31</v>
      </c>
      <c r="L413" s="22">
        <v>-33</v>
      </c>
      <c r="M413" s="22" t="s">
        <v>767</v>
      </c>
      <c r="N413" s="22" t="s">
        <v>768</v>
      </c>
    </row>
    <row r="414" spans="1:14">
      <c r="A414" s="335">
        <v>407</v>
      </c>
      <c r="B414" s="39">
        <f t="shared" si="52"/>
        <v>394</v>
      </c>
      <c r="C414" s="39" t="str">
        <f t="shared" si="53"/>
        <v>μ 57</v>
      </c>
      <c r="F414" s="25" t="s">
        <v>2159</v>
      </c>
      <c r="G414" s="22">
        <v>15</v>
      </c>
      <c r="H414" s="22">
        <v>18</v>
      </c>
      <c r="I414" s="22">
        <v>33.200000000000003</v>
      </c>
      <c r="J414" s="22">
        <v>2</v>
      </c>
      <c r="K414" s="22">
        <v>4</v>
      </c>
      <c r="L414" s="22">
        <v>52</v>
      </c>
      <c r="M414" s="22" t="s">
        <v>769</v>
      </c>
      <c r="N414" s="22" t="s">
        <v>770</v>
      </c>
    </row>
    <row r="415" spans="1:14">
      <c r="A415" s="335">
        <v>408</v>
      </c>
      <c r="B415" s="39">
        <f t="shared" si="52"/>
        <v>394</v>
      </c>
      <c r="C415" s="39" t="str">
        <f t="shared" si="53"/>
        <v>μ 57</v>
      </c>
      <c r="F415" s="25" t="s">
        <v>2160</v>
      </c>
      <c r="G415" s="22">
        <v>17</v>
      </c>
      <c r="H415" s="22">
        <v>40</v>
      </c>
      <c r="I415" s="22">
        <v>20</v>
      </c>
      <c r="J415" s="22">
        <v>-32</v>
      </c>
      <c r="K415" s="22">
        <v>-15</v>
      </c>
      <c r="L415" s="22">
        <v>-1</v>
      </c>
      <c r="M415" s="22" t="s">
        <v>771</v>
      </c>
      <c r="N415" s="22" t="s">
        <v>772</v>
      </c>
    </row>
    <row r="416" spans="1:14">
      <c r="A416" s="335">
        <v>409</v>
      </c>
      <c r="B416" s="39">
        <f t="shared" si="52"/>
        <v>394</v>
      </c>
      <c r="C416" s="39" t="str">
        <f t="shared" si="53"/>
        <v>μ 57</v>
      </c>
      <c r="F416" s="25" t="s">
        <v>2161</v>
      </c>
      <c r="G416" s="22">
        <v>17</v>
      </c>
      <c r="H416" s="22">
        <v>53</v>
      </c>
      <c r="I416" s="22">
        <v>51</v>
      </c>
      <c r="J416" s="22">
        <v>-34</v>
      </c>
      <c r="K416" s="22">
        <v>-47</v>
      </c>
      <c r="L416" s="22">
        <v>-3</v>
      </c>
      <c r="M416" s="22" t="s">
        <v>773</v>
      </c>
      <c r="N416" s="22" t="s">
        <v>774</v>
      </c>
    </row>
    <row r="417" spans="1:14">
      <c r="A417" s="335">
        <v>410</v>
      </c>
      <c r="B417" s="39">
        <f t="shared" si="52"/>
        <v>394</v>
      </c>
      <c r="C417" s="39" t="str">
        <f t="shared" si="53"/>
        <v>μ 57</v>
      </c>
      <c r="F417" s="25" t="s">
        <v>2162</v>
      </c>
      <c r="G417" s="22">
        <v>18</v>
      </c>
      <c r="H417" s="22">
        <v>3</v>
      </c>
      <c r="I417" s="22">
        <v>37</v>
      </c>
      <c r="J417" s="22">
        <v>-24</v>
      </c>
      <c r="K417" s="22">
        <v>-23</v>
      </c>
      <c r="L417" s="22">
        <v>-1</v>
      </c>
      <c r="M417" s="22" t="s">
        <v>775</v>
      </c>
      <c r="N417" s="22" t="s">
        <v>776</v>
      </c>
    </row>
    <row r="418" spans="1:14">
      <c r="A418" s="335">
        <v>411</v>
      </c>
      <c r="B418" s="39">
        <f t="shared" si="52"/>
        <v>394</v>
      </c>
      <c r="C418" s="39" t="str">
        <f t="shared" si="53"/>
        <v>μ 57</v>
      </c>
      <c r="F418" s="25" t="s">
        <v>2163</v>
      </c>
      <c r="G418" s="22">
        <v>17</v>
      </c>
      <c r="H418" s="22">
        <v>19</v>
      </c>
      <c r="I418" s="22">
        <v>11.8</v>
      </c>
      <c r="J418" s="22">
        <v>-18</v>
      </c>
      <c r="K418" s="22">
        <v>-30</v>
      </c>
      <c r="L418" s="22">
        <v>-58</v>
      </c>
      <c r="M418" s="22" t="s">
        <v>777</v>
      </c>
      <c r="N418" s="22" t="s">
        <v>778</v>
      </c>
    </row>
    <row r="419" spans="1:14">
      <c r="A419" s="335">
        <v>412</v>
      </c>
      <c r="B419" s="39">
        <f t="shared" si="52"/>
        <v>394</v>
      </c>
      <c r="C419" s="39" t="str">
        <f t="shared" si="53"/>
        <v>μ 57</v>
      </c>
      <c r="F419" s="25" t="s">
        <v>2164</v>
      </c>
      <c r="G419" s="22">
        <v>16</v>
      </c>
      <c r="H419" s="22">
        <v>57</v>
      </c>
      <c r="I419" s="22">
        <v>9.5</v>
      </c>
      <c r="J419" s="22">
        <v>-4</v>
      </c>
      <c r="K419" s="22">
        <v>-6</v>
      </c>
      <c r="L419" s="22">
        <v>-1</v>
      </c>
      <c r="M419" s="22" t="s">
        <v>779</v>
      </c>
      <c r="N419" s="22" t="s">
        <v>780</v>
      </c>
    </row>
    <row r="420" spans="1:14">
      <c r="A420" s="335">
        <v>413</v>
      </c>
      <c r="B420" s="39">
        <f t="shared" si="52"/>
        <v>394</v>
      </c>
      <c r="C420" s="39" t="str">
        <f t="shared" si="53"/>
        <v>μ 57</v>
      </c>
      <c r="F420" s="25" t="s">
        <v>2165</v>
      </c>
      <c r="G420" s="22">
        <v>18</v>
      </c>
      <c r="H420" s="22">
        <v>51</v>
      </c>
      <c r="I420" s="22">
        <v>5</v>
      </c>
      <c r="J420" s="22">
        <v>-6</v>
      </c>
      <c r="K420" s="22">
        <v>-16</v>
      </c>
      <c r="L420" s="22">
        <v>-1</v>
      </c>
      <c r="M420" s="22" t="s">
        <v>781</v>
      </c>
      <c r="N420" s="22" t="s">
        <v>782</v>
      </c>
    </row>
    <row r="421" spans="1:14">
      <c r="A421" s="335">
        <v>414</v>
      </c>
      <c r="B421" s="39">
        <f t="shared" si="52"/>
        <v>394</v>
      </c>
      <c r="C421" s="39" t="str">
        <f t="shared" si="53"/>
        <v>μ 57</v>
      </c>
      <c r="F421" s="25" t="s">
        <v>2166</v>
      </c>
      <c r="G421" s="22">
        <v>16</v>
      </c>
      <c r="H421" s="22">
        <v>47</v>
      </c>
      <c r="I421" s="22">
        <v>14.2</v>
      </c>
      <c r="J421" s="22">
        <v>-1</v>
      </c>
      <c r="K421" s="22">
        <v>-56</v>
      </c>
      <c r="L421" s="22">
        <v>-55</v>
      </c>
      <c r="M421" s="22" t="s">
        <v>783</v>
      </c>
      <c r="N421" s="22" t="s">
        <v>784</v>
      </c>
    </row>
    <row r="422" spans="1:14">
      <c r="A422" s="335">
        <v>415</v>
      </c>
      <c r="B422" s="39">
        <f t="shared" si="52"/>
        <v>394</v>
      </c>
      <c r="C422" s="39" t="str">
        <f t="shared" si="53"/>
        <v>μ 57</v>
      </c>
      <c r="F422" s="25" t="s">
        <v>2167</v>
      </c>
      <c r="G422" s="22">
        <v>16</v>
      </c>
      <c r="H422" s="22">
        <v>41</v>
      </c>
      <c r="I422" s="22">
        <v>41.6</v>
      </c>
      <c r="J422" s="22">
        <v>36</v>
      </c>
      <c r="K422" s="22">
        <v>27</v>
      </c>
      <c r="L422" s="22">
        <v>41</v>
      </c>
      <c r="M422" s="22" t="s">
        <v>785</v>
      </c>
      <c r="N422" s="22" t="s">
        <v>786</v>
      </c>
    </row>
    <row r="423" spans="1:14">
      <c r="A423" s="335">
        <v>416</v>
      </c>
      <c r="B423" s="39">
        <f t="shared" si="52"/>
        <v>394</v>
      </c>
      <c r="C423" s="39" t="str">
        <f t="shared" si="53"/>
        <v>μ 57</v>
      </c>
      <c r="F423" s="25" t="s">
        <v>2168</v>
      </c>
      <c r="G423" s="22">
        <v>17</v>
      </c>
      <c r="H423" s="22">
        <v>37</v>
      </c>
      <c r="I423" s="22">
        <v>36.1</v>
      </c>
      <c r="J423" s="22">
        <v>-3</v>
      </c>
      <c r="K423" s="22">
        <v>-14</v>
      </c>
      <c r="L423" s="22">
        <v>-45</v>
      </c>
      <c r="M423" s="22" t="s">
        <v>787</v>
      </c>
      <c r="N423" s="22" t="s">
        <v>788</v>
      </c>
    </row>
    <row r="424" spans="1:14">
      <c r="A424" s="335">
        <v>417</v>
      </c>
      <c r="B424" s="39">
        <f t="shared" si="52"/>
        <v>394</v>
      </c>
      <c r="C424" s="39" t="str">
        <f t="shared" si="53"/>
        <v>μ 57</v>
      </c>
      <c r="F424" s="25" t="s">
        <v>2169</v>
      </c>
      <c r="G424" s="22">
        <v>21</v>
      </c>
      <c r="H424" s="22">
        <v>29</v>
      </c>
      <c r="I424" s="22">
        <v>58.3</v>
      </c>
      <c r="J424" s="22">
        <v>12</v>
      </c>
      <c r="K424" s="22">
        <v>10</v>
      </c>
      <c r="L424" s="22">
        <v>1</v>
      </c>
      <c r="M424" s="22" t="s">
        <v>789</v>
      </c>
      <c r="N424" s="22" t="s">
        <v>790</v>
      </c>
    </row>
    <row r="425" spans="1:14">
      <c r="A425" s="335">
        <v>418</v>
      </c>
      <c r="B425" s="39">
        <f t="shared" si="52"/>
        <v>394</v>
      </c>
      <c r="C425" s="39" t="str">
        <f t="shared" si="53"/>
        <v>μ 57</v>
      </c>
      <c r="F425" s="25" t="s">
        <v>2170</v>
      </c>
      <c r="G425" s="22">
        <v>18</v>
      </c>
      <c r="H425" s="22">
        <v>18</v>
      </c>
      <c r="I425" s="22">
        <v>48</v>
      </c>
      <c r="J425" s="22">
        <v>-13</v>
      </c>
      <c r="K425" s="22">
        <v>-48</v>
      </c>
      <c r="L425" s="22">
        <v>-2</v>
      </c>
      <c r="M425" s="22" t="s">
        <v>791</v>
      </c>
      <c r="N425" s="22" t="s">
        <v>792</v>
      </c>
    </row>
    <row r="426" spans="1:14">
      <c r="A426" s="335">
        <v>419</v>
      </c>
      <c r="B426" s="39">
        <f t="shared" si="52"/>
        <v>394</v>
      </c>
      <c r="C426" s="39" t="str">
        <f t="shared" si="53"/>
        <v>μ 57</v>
      </c>
      <c r="F426" s="25" t="s">
        <v>2171</v>
      </c>
      <c r="G426" s="22">
        <v>18</v>
      </c>
      <c r="H426" s="22">
        <v>20</v>
      </c>
      <c r="I426" s="22">
        <v>48</v>
      </c>
      <c r="J426" s="22">
        <v>-16</v>
      </c>
      <c r="K426" s="22">
        <v>-10</v>
      </c>
      <c r="L426" s="22">
        <v>-1</v>
      </c>
      <c r="M426" s="22" t="s">
        <v>793</v>
      </c>
      <c r="N426" s="22" t="s">
        <v>794</v>
      </c>
    </row>
    <row r="427" spans="1:14">
      <c r="A427" s="335">
        <v>420</v>
      </c>
      <c r="B427" s="39">
        <f t="shared" si="52"/>
        <v>394</v>
      </c>
      <c r="C427" s="39" t="str">
        <f t="shared" si="53"/>
        <v>μ 57</v>
      </c>
      <c r="F427" s="25" t="s">
        <v>2172</v>
      </c>
      <c r="G427" s="22">
        <v>18</v>
      </c>
      <c r="H427" s="22">
        <v>19</v>
      </c>
      <c r="I427" s="22">
        <v>58</v>
      </c>
      <c r="J427" s="22">
        <v>-17</v>
      </c>
      <c r="K427" s="22">
        <v>-6</v>
      </c>
      <c r="L427" s="22">
        <v>0</v>
      </c>
      <c r="M427" s="22" t="s">
        <v>795</v>
      </c>
      <c r="N427" s="22" t="s">
        <v>796</v>
      </c>
    </row>
    <row r="428" spans="1:14">
      <c r="A428" s="335">
        <v>421</v>
      </c>
      <c r="B428" s="39">
        <f t="shared" si="52"/>
        <v>394</v>
      </c>
      <c r="C428" s="39" t="str">
        <f t="shared" si="53"/>
        <v>μ 57</v>
      </c>
      <c r="F428" s="25" t="s">
        <v>2173</v>
      </c>
      <c r="G428" s="22">
        <v>17</v>
      </c>
      <c r="H428" s="22">
        <v>2</v>
      </c>
      <c r="I428" s="22">
        <v>37.700000000000003</v>
      </c>
      <c r="J428" s="22">
        <v>-26</v>
      </c>
      <c r="K428" s="22">
        <v>-16</v>
      </c>
      <c r="L428" s="22">
        <v>-5</v>
      </c>
      <c r="M428" s="22" t="s">
        <v>797</v>
      </c>
      <c r="N428" s="22" t="s">
        <v>798</v>
      </c>
    </row>
    <row r="429" spans="1:14">
      <c r="A429" s="335">
        <v>422</v>
      </c>
      <c r="B429" s="39">
        <f t="shared" si="52"/>
        <v>394</v>
      </c>
      <c r="C429" s="39" t="str">
        <f t="shared" si="53"/>
        <v>μ 57</v>
      </c>
      <c r="F429" s="25" t="s">
        <v>2174</v>
      </c>
      <c r="G429" s="22">
        <v>18</v>
      </c>
      <c r="H429" s="22">
        <v>2</v>
      </c>
      <c r="I429" s="22">
        <v>42</v>
      </c>
      <c r="J429" s="22">
        <v>-23</v>
      </c>
      <c r="K429" s="22">
        <v>-58</v>
      </c>
      <c r="L429" s="22">
        <v>-1</v>
      </c>
      <c r="M429" s="22" t="s">
        <v>799</v>
      </c>
      <c r="N429" s="22" t="s">
        <v>800</v>
      </c>
    </row>
    <row r="430" spans="1:14">
      <c r="A430" s="335">
        <v>423</v>
      </c>
      <c r="B430" s="39">
        <f t="shared" si="52"/>
        <v>394</v>
      </c>
      <c r="C430" s="39" t="str">
        <f t="shared" si="53"/>
        <v>μ 57</v>
      </c>
      <c r="F430" s="25" t="s">
        <v>2175</v>
      </c>
      <c r="G430" s="22">
        <v>18</v>
      </c>
      <c r="H430" s="22">
        <v>4</v>
      </c>
      <c r="I430" s="22">
        <v>13</v>
      </c>
      <c r="J430" s="22">
        <v>-22</v>
      </c>
      <c r="K430" s="22">
        <v>-29</v>
      </c>
      <c r="L430" s="22">
        <v>-2</v>
      </c>
      <c r="M430" s="22" t="s">
        <v>801</v>
      </c>
      <c r="N430" s="22" t="s">
        <v>802</v>
      </c>
    </row>
    <row r="431" spans="1:14">
      <c r="A431" s="335">
        <v>424</v>
      </c>
      <c r="B431" s="39">
        <f t="shared" si="52"/>
        <v>394</v>
      </c>
      <c r="C431" s="39" t="str">
        <f t="shared" si="53"/>
        <v>μ 57</v>
      </c>
      <c r="F431" s="25" t="s">
        <v>2176</v>
      </c>
      <c r="G431" s="22">
        <v>18</v>
      </c>
      <c r="H431" s="22">
        <v>36</v>
      </c>
      <c r="I431" s="22">
        <v>23.9</v>
      </c>
      <c r="J431" s="22">
        <v>-23</v>
      </c>
      <c r="K431" s="22">
        <v>-54</v>
      </c>
      <c r="L431" s="22">
        <v>-17</v>
      </c>
      <c r="M431" s="22" t="s">
        <v>803</v>
      </c>
      <c r="N431" s="22" t="s">
        <v>804</v>
      </c>
    </row>
    <row r="432" spans="1:14">
      <c r="A432" s="335">
        <v>425</v>
      </c>
      <c r="B432" s="39">
        <f t="shared" si="52"/>
        <v>394</v>
      </c>
      <c r="C432" s="39" t="str">
        <f t="shared" si="53"/>
        <v>μ 57</v>
      </c>
      <c r="F432" s="25" t="s">
        <v>2177</v>
      </c>
      <c r="G432" s="22">
        <v>17</v>
      </c>
      <c r="H432" s="22">
        <v>57</v>
      </c>
      <c r="I432" s="22">
        <v>4</v>
      </c>
      <c r="J432" s="22">
        <v>-18</v>
      </c>
      <c r="K432" s="22">
        <v>-59</v>
      </c>
      <c r="L432" s="22">
        <v>0</v>
      </c>
      <c r="M432" s="22" t="s">
        <v>805</v>
      </c>
      <c r="N432" s="22" t="s">
        <v>806</v>
      </c>
    </row>
    <row r="433" spans="1:14">
      <c r="A433" s="335">
        <v>426</v>
      </c>
      <c r="B433" s="39">
        <f t="shared" si="52"/>
        <v>394</v>
      </c>
      <c r="C433" s="39" t="str">
        <f t="shared" si="53"/>
        <v>μ 57</v>
      </c>
      <c r="F433" s="25" t="s">
        <v>2178</v>
      </c>
      <c r="G433" s="22">
        <v>18</v>
      </c>
      <c r="H433" s="22">
        <v>16</v>
      </c>
      <c r="I433" s="22">
        <v>4</v>
      </c>
      <c r="J433" s="22">
        <v>-18</v>
      </c>
      <c r="K433" s="22">
        <v>-33</v>
      </c>
      <c r="L433" s="22">
        <v>0</v>
      </c>
      <c r="M433" s="22" t="s">
        <v>807</v>
      </c>
      <c r="N433" s="22" t="s">
        <v>808</v>
      </c>
    </row>
    <row r="434" spans="1:14">
      <c r="A434" s="335">
        <v>427</v>
      </c>
      <c r="B434" s="39">
        <f t="shared" si="52"/>
        <v>394</v>
      </c>
      <c r="C434" s="39" t="str">
        <f t="shared" si="53"/>
        <v>μ 57</v>
      </c>
      <c r="F434" s="25" t="s">
        <v>2179</v>
      </c>
      <c r="G434" s="22">
        <v>18</v>
      </c>
      <c r="H434" s="22">
        <v>31</v>
      </c>
      <c r="I434" s="22">
        <v>47</v>
      </c>
      <c r="J434" s="22">
        <v>-19</v>
      </c>
      <c r="K434" s="22">
        <v>-7</v>
      </c>
      <c r="L434" s="22">
        <v>0</v>
      </c>
      <c r="M434" s="22" t="s">
        <v>809</v>
      </c>
      <c r="N434" s="22" t="s">
        <v>810</v>
      </c>
    </row>
    <row r="435" spans="1:14">
      <c r="A435" s="335">
        <v>428</v>
      </c>
      <c r="B435" s="39">
        <f t="shared" si="52"/>
        <v>394</v>
      </c>
      <c r="C435" s="39" t="str">
        <f t="shared" si="53"/>
        <v>μ 57</v>
      </c>
      <c r="F435" s="25" t="s">
        <v>2180</v>
      </c>
      <c r="G435" s="22">
        <v>18</v>
      </c>
      <c r="H435" s="22">
        <v>45</v>
      </c>
      <c r="I435" s="22">
        <v>18</v>
      </c>
      <c r="J435" s="22">
        <v>-9</v>
      </c>
      <c r="K435" s="22">
        <v>-23</v>
      </c>
      <c r="L435" s="22">
        <v>0</v>
      </c>
      <c r="M435" s="22" t="s">
        <v>811</v>
      </c>
      <c r="N435" s="22" t="s">
        <v>812</v>
      </c>
    </row>
    <row r="436" spans="1:14">
      <c r="A436" s="335">
        <v>429</v>
      </c>
      <c r="B436" s="39">
        <f t="shared" si="52"/>
        <v>394</v>
      </c>
      <c r="C436" s="39" t="str">
        <f t="shared" si="53"/>
        <v>μ 57</v>
      </c>
      <c r="F436" s="25" t="s">
        <v>2181</v>
      </c>
      <c r="G436" s="22">
        <v>19</v>
      </c>
      <c r="H436" s="22">
        <v>59</v>
      </c>
      <c r="I436" s="22">
        <v>36.4</v>
      </c>
      <c r="J436" s="22">
        <v>22</v>
      </c>
      <c r="K436" s="22">
        <v>43</v>
      </c>
      <c r="L436" s="22">
        <v>16</v>
      </c>
      <c r="M436" s="22" t="s">
        <v>813</v>
      </c>
      <c r="N436" s="22" t="s">
        <v>814</v>
      </c>
    </row>
    <row r="437" spans="1:14">
      <c r="A437" s="335">
        <v>430</v>
      </c>
      <c r="B437" s="39">
        <f t="shared" si="52"/>
        <v>394</v>
      </c>
      <c r="C437" s="39" t="str">
        <f t="shared" si="53"/>
        <v>μ 57</v>
      </c>
      <c r="F437" s="25" t="s">
        <v>2182</v>
      </c>
      <c r="G437" s="22">
        <v>18</v>
      </c>
      <c r="H437" s="22">
        <v>24</v>
      </c>
      <c r="I437" s="22">
        <v>32.9</v>
      </c>
      <c r="J437" s="22">
        <v>-24</v>
      </c>
      <c r="K437" s="22">
        <v>-52</v>
      </c>
      <c r="L437" s="22">
        <v>-11</v>
      </c>
      <c r="M437" s="22" t="s">
        <v>815</v>
      </c>
      <c r="N437" s="22" t="s">
        <v>816</v>
      </c>
    </row>
    <row r="438" spans="1:14">
      <c r="A438" s="335">
        <v>431</v>
      </c>
      <c r="B438" s="39">
        <f t="shared" si="52"/>
        <v>394</v>
      </c>
      <c r="C438" s="39" t="str">
        <f t="shared" si="53"/>
        <v>μ 57</v>
      </c>
      <c r="F438" s="25" t="s">
        <v>2183</v>
      </c>
      <c r="G438" s="22">
        <v>20</v>
      </c>
      <c r="H438" s="22">
        <v>23</v>
      </c>
      <c r="I438" s="22">
        <v>56</v>
      </c>
      <c r="J438" s="22">
        <v>38</v>
      </c>
      <c r="K438" s="22">
        <v>31</v>
      </c>
      <c r="L438" s="22">
        <v>2</v>
      </c>
      <c r="M438" s="22" t="s">
        <v>817</v>
      </c>
      <c r="N438" s="22" t="s">
        <v>818</v>
      </c>
    </row>
    <row r="439" spans="1:14">
      <c r="A439" s="335">
        <v>432</v>
      </c>
      <c r="B439" s="39">
        <f t="shared" si="52"/>
        <v>394</v>
      </c>
      <c r="C439" s="39" t="str">
        <f t="shared" si="53"/>
        <v>μ 57</v>
      </c>
      <c r="F439" s="25" t="s">
        <v>2184</v>
      </c>
      <c r="G439" s="22">
        <v>21</v>
      </c>
      <c r="H439" s="22">
        <v>40</v>
      </c>
      <c r="I439" s="22">
        <v>22.1</v>
      </c>
      <c r="J439" s="22">
        <v>-23</v>
      </c>
      <c r="K439" s="22">
        <v>-10</v>
      </c>
      <c r="L439" s="22">
        <v>-47</v>
      </c>
      <c r="M439" s="22" t="s">
        <v>819</v>
      </c>
      <c r="N439" s="22" t="s">
        <v>820</v>
      </c>
    </row>
    <row r="440" spans="1:14">
      <c r="A440" s="335">
        <v>433</v>
      </c>
      <c r="B440" s="39">
        <f t="shared" si="52"/>
        <v>394</v>
      </c>
      <c r="C440" s="39" t="str">
        <f t="shared" si="53"/>
        <v>μ 57</v>
      </c>
      <c r="F440" s="25" t="s">
        <v>2185</v>
      </c>
      <c r="G440" s="22">
        <v>0</v>
      </c>
      <c r="H440" s="22">
        <v>42</v>
      </c>
      <c r="I440" s="22">
        <v>44.3</v>
      </c>
      <c r="J440" s="22">
        <v>41</v>
      </c>
      <c r="K440" s="22">
        <v>16</v>
      </c>
      <c r="L440" s="22">
        <v>8</v>
      </c>
      <c r="M440" s="22" t="s">
        <v>821</v>
      </c>
      <c r="N440" s="22" t="s">
        <v>822</v>
      </c>
    </row>
    <row r="441" spans="1:14">
      <c r="A441" s="335">
        <v>434</v>
      </c>
      <c r="B441" s="39">
        <f t="shared" si="52"/>
        <v>394</v>
      </c>
      <c r="C441" s="39" t="str">
        <f t="shared" si="53"/>
        <v>μ 57</v>
      </c>
      <c r="F441" s="25" t="s">
        <v>2186</v>
      </c>
      <c r="G441" s="22">
        <v>1</v>
      </c>
      <c r="H441" s="22">
        <v>33</v>
      </c>
      <c r="I441" s="22">
        <v>50.9</v>
      </c>
      <c r="J441" s="22">
        <v>30</v>
      </c>
      <c r="K441" s="22">
        <v>39</v>
      </c>
      <c r="L441" s="22">
        <v>36</v>
      </c>
      <c r="M441" s="22" t="s">
        <v>823</v>
      </c>
      <c r="N441" s="22" t="s">
        <v>824</v>
      </c>
    </row>
    <row r="442" spans="1:14">
      <c r="A442" s="335">
        <v>435</v>
      </c>
      <c r="B442" s="39">
        <f t="shared" si="52"/>
        <v>394</v>
      </c>
      <c r="C442" s="39" t="str">
        <f t="shared" si="53"/>
        <v>μ 57</v>
      </c>
      <c r="F442" s="25" t="s">
        <v>2187</v>
      </c>
      <c r="G442" s="22">
        <v>6</v>
      </c>
      <c r="H442" s="22">
        <v>8</v>
      </c>
      <c r="I442" s="22">
        <v>24</v>
      </c>
      <c r="J442" s="22">
        <v>24</v>
      </c>
      <c r="K442" s="22">
        <v>20</v>
      </c>
      <c r="L442" s="22">
        <v>0</v>
      </c>
      <c r="M442" s="22" t="s">
        <v>825</v>
      </c>
      <c r="N442" s="22" t="s">
        <v>826</v>
      </c>
    </row>
    <row r="443" spans="1:14">
      <c r="A443" s="335">
        <v>436</v>
      </c>
      <c r="B443" s="39">
        <f t="shared" si="52"/>
        <v>394</v>
      </c>
      <c r="C443" s="39" t="str">
        <f t="shared" si="53"/>
        <v>μ 57</v>
      </c>
      <c r="F443" s="25" t="s">
        <v>2188</v>
      </c>
      <c r="G443" s="22">
        <v>5</v>
      </c>
      <c r="H443" s="22">
        <v>36</v>
      </c>
      <c r="I443" s="22">
        <v>18</v>
      </c>
      <c r="J443" s="22">
        <v>34</v>
      </c>
      <c r="K443" s="22">
        <v>8</v>
      </c>
      <c r="L443" s="22">
        <v>2</v>
      </c>
      <c r="M443" s="22" t="s">
        <v>827</v>
      </c>
      <c r="N443" s="22" t="s">
        <v>828</v>
      </c>
    </row>
    <row r="444" spans="1:14">
      <c r="A444" s="335">
        <v>437</v>
      </c>
      <c r="B444" s="39">
        <f t="shared" si="52"/>
        <v>394</v>
      </c>
      <c r="C444" s="39" t="str">
        <f t="shared" si="53"/>
        <v>μ 57</v>
      </c>
      <c r="F444" s="25" t="s">
        <v>2189</v>
      </c>
      <c r="G444" s="22">
        <v>5</v>
      </c>
      <c r="H444" s="22">
        <v>52</v>
      </c>
      <c r="I444" s="22">
        <v>18</v>
      </c>
      <c r="J444" s="22">
        <v>32</v>
      </c>
      <c r="K444" s="22">
        <v>33</v>
      </c>
      <c r="L444" s="22">
        <v>1</v>
      </c>
      <c r="M444" s="22" t="s">
        <v>829</v>
      </c>
      <c r="N444" s="22" t="s">
        <v>830</v>
      </c>
    </row>
    <row r="445" spans="1:14">
      <c r="A445" s="335">
        <v>438</v>
      </c>
      <c r="B445" s="39">
        <f t="shared" si="52"/>
        <v>394</v>
      </c>
      <c r="C445" s="39" t="str">
        <f t="shared" si="53"/>
        <v>μ 57</v>
      </c>
      <c r="F445" s="25" t="s">
        <v>2190</v>
      </c>
      <c r="G445" s="22">
        <v>5</v>
      </c>
      <c r="H445" s="22">
        <v>28</v>
      </c>
      <c r="I445" s="22">
        <v>43</v>
      </c>
      <c r="J445" s="22">
        <v>35</v>
      </c>
      <c r="K445" s="22">
        <v>51</v>
      </c>
      <c r="L445" s="22">
        <v>1</v>
      </c>
      <c r="M445" s="22" t="s">
        <v>831</v>
      </c>
      <c r="N445" s="22" t="s">
        <v>832</v>
      </c>
    </row>
    <row r="446" spans="1:14">
      <c r="A446" s="335">
        <v>439</v>
      </c>
      <c r="B446" s="39">
        <f t="shared" si="52"/>
        <v>394</v>
      </c>
      <c r="C446" s="39" t="str">
        <f t="shared" si="53"/>
        <v>μ 57</v>
      </c>
      <c r="F446" s="25" t="s">
        <v>2191</v>
      </c>
      <c r="G446" s="22">
        <v>21</v>
      </c>
      <c r="H446" s="22">
        <v>31</v>
      </c>
      <c r="I446" s="22">
        <v>48</v>
      </c>
      <c r="J446" s="22">
        <v>48</v>
      </c>
      <c r="K446" s="22">
        <v>26</v>
      </c>
      <c r="L446" s="22">
        <v>0</v>
      </c>
      <c r="M446" s="22" t="s">
        <v>833</v>
      </c>
      <c r="N446" s="22" t="s">
        <v>834</v>
      </c>
    </row>
    <row r="447" spans="1:14">
      <c r="A447" s="335">
        <v>440</v>
      </c>
      <c r="B447" s="39">
        <f t="shared" si="52"/>
        <v>394</v>
      </c>
      <c r="C447" s="39" t="str">
        <f t="shared" si="53"/>
        <v>μ 57</v>
      </c>
      <c r="F447" s="25" t="s">
        <v>2192</v>
      </c>
      <c r="G447" s="22">
        <v>6</v>
      </c>
      <c r="H447" s="22">
        <v>46</v>
      </c>
      <c r="I447" s="22">
        <v>1</v>
      </c>
      <c r="J447" s="22">
        <v>-20</v>
      </c>
      <c r="K447" s="22">
        <v>-45</v>
      </c>
      <c r="L447" s="22">
        <v>-2</v>
      </c>
      <c r="M447" s="22" t="s">
        <v>835</v>
      </c>
      <c r="N447" s="22" t="s">
        <v>836</v>
      </c>
    </row>
    <row r="448" spans="1:14">
      <c r="A448" s="335">
        <v>441</v>
      </c>
      <c r="B448" s="39">
        <f t="shared" si="52"/>
        <v>394</v>
      </c>
      <c r="C448" s="39" t="str">
        <f t="shared" si="53"/>
        <v>μ 57</v>
      </c>
      <c r="F448" s="25" t="s">
        <v>2193</v>
      </c>
      <c r="G448" s="22">
        <v>5</v>
      </c>
      <c r="H448" s="22">
        <v>35</v>
      </c>
      <c r="I448" s="22">
        <v>17.3</v>
      </c>
      <c r="J448" s="22">
        <v>-5</v>
      </c>
      <c r="K448" s="22">
        <v>-23</v>
      </c>
      <c r="L448" s="22">
        <v>-28</v>
      </c>
      <c r="M448" s="22" t="s">
        <v>837</v>
      </c>
      <c r="N448" s="22" t="s">
        <v>838</v>
      </c>
    </row>
    <row r="449" spans="1:14">
      <c r="A449" s="335">
        <v>442</v>
      </c>
      <c r="B449" s="39">
        <f t="shared" si="52"/>
        <v>394</v>
      </c>
      <c r="C449" s="39" t="str">
        <f t="shared" si="53"/>
        <v>μ 57</v>
      </c>
      <c r="F449" s="25" t="s">
        <v>2194</v>
      </c>
      <c r="G449" s="22">
        <v>8</v>
      </c>
      <c r="H449" s="22">
        <v>40</v>
      </c>
      <c r="I449" s="22">
        <v>24</v>
      </c>
      <c r="J449" s="22">
        <v>19</v>
      </c>
      <c r="K449" s="22">
        <v>0</v>
      </c>
      <c r="L449" s="22">
        <v>21</v>
      </c>
      <c r="M449" s="22" t="s">
        <v>839</v>
      </c>
      <c r="N449" s="22" t="s">
        <v>840</v>
      </c>
    </row>
    <row r="450" spans="1:14">
      <c r="A450" s="335">
        <v>443</v>
      </c>
      <c r="B450" s="39">
        <f t="shared" si="52"/>
        <v>394</v>
      </c>
      <c r="C450" s="39" t="str">
        <f t="shared" si="53"/>
        <v>μ 57</v>
      </c>
      <c r="F450" s="25" t="s">
        <v>2195</v>
      </c>
      <c r="G450" s="22">
        <v>7</v>
      </c>
      <c r="H450" s="22">
        <v>41</v>
      </c>
      <c r="I450" s="22">
        <v>46</v>
      </c>
      <c r="J450" s="22">
        <v>-14</v>
      </c>
      <c r="K450" s="22">
        <v>-48</v>
      </c>
      <c r="L450" s="22">
        <v>-3</v>
      </c>
      <c r="M450" s="22" t="s">
        <v>3957</v>
      </c>
      <c r="N450" s="22" t="s">
        <v>841</v>
      </c>
    </row>
    <row r="451" spans="1:14">
      <c r="A451" s="335">
        <v>444</v>
      </c>
      <c r="B451" s="39">
        <f t="shared" si="52"/>
        <v>394</v>
      </c>
      <c r="C451" s="39" t="str">
        <f t="shared" si="53"/>
        <v>μ 57</v>
      </c>
      <c r="F451" s="25" t="s">
        <v>2196</v>
      </c>
      <c r="G451" s="22">
        <v>7</v>
      </c>
      <c r="H451" s="22">
        <v>36</v>
      </c>
      <c r="I451" s="22">
        <v>35</v>
      </c>
      <c r="J451" s="22">
        <v>-14</v>
      </c>
      <c r="K451" s="22">
        <v>-29</v>
      </c>
      <c r="L451" s="22">
        <v>0</v>
      </c>
      <c r="M451" s="22" t="s">
        <v>842</v>
      </c>
      <c r="N451" s="22" t="s">
        <v>843</v>
      </c>
    </row>
    <row r="452" spans="1:14">
      <c r="A452" s="335">
        <v>445</v>
      </c>
      <c r="B452" s="39">
        <f t="shared" si="52"/>
        <v>394</v>
      </c>
      <c r="C452" s="39" t="str">
        <f t="shared" si="53"/>
        <v>μ 57</v>
      </c>
      <c r="F452" s="25" t="s">
        <v>2197</v>
      </c>
      <c r="G452" s="22">
        <v>8</v>
      </c>
      <c r="H452" s="22">
        <v>13</v>
      </c>
      <c r="I452" s="22">
        <v>43</v>
      </c>
      <c r="J452" s="22">
        <v>-5</v>
      </c>
      <c r="K452" s="22">
        <v>-45</v>
      </c>
      <c r="L452" s="22">
        <v>0</v>
      </c>
      <c r="M452" s="22" t="s">
        <v>844</v>
      </c>
      <c r="N452" s="22" t="s">
        <v>845</v>
      </c>
    </row>
    <row r="453" spans="1:14">
      <c r="A453" s="335">
        <v>446</v>
      </c>
      <c r="B453" s="39">
        <f t="shared" si="52"/>
        <v>394</v>
      </c>
      <c r="C453" s="39" t="str">
        <f t="shared" si="53"/>
        <v>μ 57</v>
      </c>
      <c r="F453" s="25" t="s">
        <v>2198</v>
      </c>
      <c r="G453" s="22">
        <v>12</v>
      </c>
      <c r="H453" s="22">
        <v>29</v>
      </c>
      <c r="I453" s="22">
        <v>46.8</v>
      </c>
      <c r="J453" s="22">
        <v>8</v>
      </c>
      <c r="K453" s="22">
        <v>0</v>
      </c>
      <c r="L453" s="22">
        <v>1</v>
      </c>
      <c r="M453" s="22" t="s">
        <v>846</v>
      </c>
      <c r="N453" s="22" t="s">
        <v>847</v>
      </c>
    </row>
    <row r="454" spans="1:14">
      <c r="A454" s="335">
        <v>447</v>
      </c>
      <c r="B454" s="39">
        <f t="shared" ref="B454:B517" si="54">IF(B453=F454,A454,B453)</f>
        <v>394</v>
      </c>
      <c r="C454" s="39" t="str">
        <f t="shared" ref="C454:C517" si="55" xml:space="preserve"> IF(C453=F454,A454,C453)</f>
        <v>μ 57</v>
      </c>
      <c r="F454" s="25" t="s">
        <v>2199</v>
      </c>
      <c r="G454" s="22">
        <v>7</v>
      </c>
      <c r="H454" s="22">
        <v>2</v>
      </c>
      <c r="I454" s="22">
        <v>47.5</v>
      </c>
      <c r="J454" s="22">
        <v>-8</v>
      </c>
      <c r="K454" s="22">
        <v>-20</v>
      </c>
      <c r="L454" s="22">
        <v>-16</v>
      </c>
      <c r="M454" s="22" t="s">
        <v>848</v>
      </c>
      <c r="N454" s="22" t="s">
        <v>849</v>
      </c>
    </row>
    <row r="455" spans="1:14">
      <c r="A455" s="335">
        <v>448</v>
      </c>
      <c r="B455" s="39">
        <f t="shared" si="54"/>
        <v>394</v>
      </c>
      <c r="C455" s="39" t="str">
        <f t="shared" si="55"/>
        <v>μ 57</v>
      </c>
      <c r="F455" s="25" t="s">
        <v>2200</v>
      </c>
      <c r="G455" s="38">
        <v>13</v>
      </c>
      <c r="H455" s="38">
        <v>29</v>
      </c>
      <c r="I455" s="38">
        <v>52.7</v>
      </c>
      <c r="J455" s="38">
        <v>47</v>
      </c>
      <c r="K455" s="38">
        <v>11</v>
      </c>
      <c r="L455" s="38">
        <v>43</v>
      </c>
      <c r="M455" s="22" t="s">
        <v>850</v>
      </c>
      <c r="N455" s="22" t="s">
        <v>851</v>
      </c>
    </row>
    <row r="456" spans="1:14">
      <c r="A456" s="335">
        <v>449</v>
      </c>
      <c r="B456" s="39">
        <f t="shared" si="54"/>
        <v>394</v>
      </c>
      <c r="C456" s="39" t="str">
        <f t="shared" si="55"/>
        <v>μ 57</v>
      </c>
      <c r="F456" s="41" t="s">
        <v>3958</v>
      </c>
      <c r="G456" s="38">
        <v>23</v>
      </c>
      <c r="H456" s="38">
        <v>24</v>
      </c>
      <c r="I456" s="38">
        <v>48</v>
      </c>
      <c r="J456" s="38">
        <v>61</v>
      </c>
      <c r="K456" s="38">
        <v>35</v>
      </c>
      <c r="L456" s="38">
        <v>36</v>
      </c>
      <c r="M456" s="22" t="s">
        <v>3959</v>
      </c>
      <c r="N456" s="22" t="s">
        <v>3960</v>
      </c>
    </row>
    <row r="457" spans="1:14">
      <c r="A457" s="335">
        <v>450</v>
      </c>
      <c r="B457" s="39">
        <f t="shared" si="54"/>
        <v>394</v>
      </c>
      <c r="C457" s="39" t="str">
        <f t="shared" si="55"/>
        <v>μ 57</v>
      </c>
      <c r="F457" s="25" t="s">
        <v>2201</v>
      </c>
      <c r="G457" s="38">
        <v>13</v>
      </c>
      <c r="H457" s="38">
        <v>12</v>
      </c>
      <c r="I457" s="38">
        <v>55.2</v>
      </c>
      <c r="J457" s="38">
        <v>18</v>
      </c>
      <c r="K457" s="38">
        <v>10</v>
      </c>
      <c r="L457" s="38">
        <v>5</v>
      </c>
      <c r="M457" s="22" t="s">
        <v>852</v>
      </c>
      <c r="N457" s="22" t="s">
        <v>853</v>
      </c>
    </row>
    <row r="458" spans="1:14">
      <c r="A458" s="335">
        <v>451</v>
      </c>
      <c r="B458" s="39">
        <f t="shared" si="54"/>
        <v>394</v>
      </c>
      <c r="C458" s="39" t="str">
        <f t="shared" si="55"/>
        <v>μ 57</v>
      </c>
      <c r="F458" s="25" t="s">
        <v>2202</v>
      </c>
      <c r="G458" s="38">
        <v>18</v>
      </c>
      <c r="H458" s="38">
        <v>55</v>
      </c>
      <c r="I458" s="38">
        <v>3.3</v>
      </c>
      <c r="J458" s="38">
        <v>-30</v>
      </c>
      <c r="K458" s="38">
        <v>-28</v>
      </c>
      <c r="L458" s="38">
        <v>-47</v>
      </c>
      <c r="M458" s="22" t="s">
        <v>854</v>
      </c>
      <c r="N458" s="22" t="s">
        <v>855</v>
      </c>
    </row>
    <row r="459" spans="1:14">
      <c r="A459" s="335">
        <v>452</v>
      </c>
      <c r="B459" s="39">
        <f t="shared" si="54"/>
        <v>394</v>
      </c>
      <c r="C459" s="39" t="str">
        <f t="shared" si="55"/>
        <v>μ 57</v>
      </c>
      <c r="F459" s="25" t="s">
        <v>2203</v>
      </c>
      <c r="G459" s="38">
        <v>19</v>
      </c>
      <c r="H459" s="38">
        <v>39</v>
      </c>
      <c r="I459" s="38">
        <v>59.7</v>
      </c>
      <c r="J459" s="38">
        <v>-30</v>
      </c>
      <c r="K459" s="38">
        <v>-57</v>
      </c>
      <c r="L459" s="38">
        <v>-53</v>
      </c>
      <c r="M459" s="22" t="s">
        <v>856</v>
      </c>
      <c r="N459" s="22" t="s">
        <v>857</v>
      </c>
    </row>
    <row r="460" spans="1:14">
      <c r="A460" s="335">
        <v>453</v>
      </c>
      <c r="B460" s="39">
        <f t="shared" si="54"/>
        <v>394</v>
      </c>
      <c r="C460" s="39" t="str">
        <f t="shared" si="55"/>
        <v>μ 57</v>
      </c>
      <c r="F460" s="25" t="s">
        <v>2204</v>
      </c>
      <c r="G460" s="38">
        <v>19</v>
      </c>
      <c r="H460" s="38">
        <v>16</v>
      </c>
      <c r="I460" s="38">
        <v>35.6</v>
      </c>
      <c r="J460" s="38">
        <v>30</v>
      </c>
      <c r="K460" s="38">
        <v>11</v>
      </c>
      <c r="L460" s="38">
        <v>0</v>
      </c>
      <c r="M460" s="22" t="s">
        <v>858</v>
      </c>
      <c r="N460" s="22" t="s">
        <v>859</v>
      </c>
    </row>
    <row r="461" spans="1:14">
      <c r="A461" s="335">
        <v>454</v>
      </c>
      <c r="B461" s="39">
        <f t="shared" si="54"/>
        <v>394</v>
      </c>
      <c r="C461" s="39">
        <f t="shared" si="55"/>
        <v>454</v>
      </c>
      <c r="F461" s="25" t="s">
        <v>2205</v>
      </c>
      <c r="G461" s="38">
        <v>18</v>
      </c>
      <c r="H461" s="38">
        <v>53</v>
      </c>
      <c r="I461" s="38">
        <v>35.1</v>
      </c>
      <c r="J461" s="38">
        <v>33</v>
      </c>
      <c r="K461" s="38">
        <v>1</v>
      </c>
      <c r="L461" s="38">
        <v>45</v>
      </c>
      <c r="M461" s="22" t="s">
        <v>860</v>
      </c>
      <c r="N461" s="22" t="s">
        <v>861</v>
      </c>
    </row>
    <row r="462" spans="1:14">
      <c r="A462" s="335">
        <v>455</v>
      </c>
      <c r="B462" s="39">
        <f t="shared" si="54"/>
        <v>394</v>
      </c>
      <c r="C462" s="39">
        <f t="shared" si="55"/>
        <v>454</v>
      </c>
      <c r="F462" s="25" t="s">
        <v>2206</v>
      </c>
      <c r="G462" s="38">
        <v>12</v>
      </c>
      <c r="H462" s="38">
        <v>37</v>
      </c>
      <c r="I462" s="38">
        <v>43.6</v>
      </c>
      <c r="J462" s="38">
        <v>11</v>
      </c>
      <c r="K462" s="38">
        <v>49</v>
      </c>
      <c r="L462" s="38">
        <v>5</v>
      </c>
      <c r="M462" s="22" t="s">
        <v>862</v>
      </c>
      <c r="N462" s="22" t="s">
        <v>863</v>
      </c>
    </row>
    <row r="463" spans="1:14">
      <c r="A463" s="335">
        <v>456</v>
      </c>
      <c r="B463" s="39">
        <f t="shared" si="54"/>
        <v>394</v>
      </c>
      <c r="C463" s="39">
        <f t="shared" si="55"/>
        <v>454</v>
      </c>
      <c r="F463" s="25" t="s">
        <v>2207</v>
      </c>
      <c r="G463" s="38">
        <v>12</v>
      </c>
      <c r="H463" s="38">
        <v>42</v>
      </c>
      <c r="I463" s="38">
        <v>2.2999999999999998</v>
      </c>
      <c r="J463" s="38">
        <v>11</v>
      </c>
      <c r="K463" s="38">
        <v>38</v>
      </c>
      <c r="L463" s="38">
        <v>49</v>
      </c>
      <c r="M463" s="22" t="s">
        <v>864</v>
      </c>
      <c r="N463" s="22" t="s">
        <v>865</v>
      </c>
    </row>
    <row r="464" spans="1:14">
      <c r="A464" s="335">
        <v>457</v>
      </c>
      <c r="B464" s="39">
        <f t="shared" si="54"/>
        <v>394</v>
      </c>
      <c r="C464" s="39">
        <f t="shared" si="55"/>
        <v>454</v>
      </c>
      <c r="F464" s="25" t="s">
        <v>2208</v>
      </c>
      <c r="G464" s="38">
        <v>12</v>
      </c>
      <c r="H464" s="38">
        <v>43</v>
      </c>
      <c r="I464" s="38">
        <v>40</v>
      </c>
      <c r="J464" s="38">
        <v>11</v>
      </c>
      <c r="K464" s="38">
        <v>33</v>
      </c>
      <c r="L464" s="38">
        <v>9</v>
      </c>
      <c r="M464" s="22" t="s">
        <v>866</v>
      </c>
      <c r="N464" s="22" t="s">
        <v>867</v>
      </c>
    </row>
    <row r="465" spans="1:14">
      <c r="A465" s="335">
        <v>458</v>
      </c>
      <c r="B465" s="39">
        <f t="shared" si="54"/>
        <v>394</v>
      </c>
      <c r="C465" s="39">
        <f t="shared" si="55"/>
        <v>454</v>
      </c>
      <c r="F465" s="25" t="s">
        <v>2209</v>
      </c>
      <c r="G465" s="38">
        <v>12</v>
      </c>
      <c r="H465" s="38">
        <v>21</v>
      </c>
      <c r="I465" s="38">
        <v>55</v>
      </c>
      <c r="J465" s="38">
        <v>4</v>
      </c>
      <c r="K465" s="38">
        <v>28</v>
      </c>
      <c r="L465" s="38">
        <v>25</v>
      </c>
      <c r="M465" s="22" t="s">
        <v>868</v>
      </c>
      <c r="N465" s="22" t="s">
        <v>869</v>
      </c>
    </row>
    <row r="466" spans="1:14">
      <c r="A466" s="335">
        <v>459</v>
      </c>
      <c r="B466" s="39">
        <f t="shared" si="54"/>
        <v>394</v>
      </c>
      <c r="C466" s="39">
        <f t="shared" si="55"/>
        <v>454</v>
      </c>
      <c r="F466" s="25" t="s">
        <v>2210</v>
      </c>
      <c r="G466" s="38">
        <v>17</v>
      </c>
      <c r="H466" s="38">
        <v>1</v>
      </c>
      <c r="I466" s="38">
        <v>12.6</v>
      </c>
      <c r="J466" s="38">
        <v>-30</v>
      </c>
      <c r="K466" s="38">
        <v>-6</v>
      </c>
      <c r="L466" s="38">
        <v>-44</v>
      </c>
      <c r="M466" s="22" t="s">
        <v>870</v>
      </c>
      <c r="N466" s="22" t="s">
        <v>871</v>
      </c>
    </row>
    <row r="467" spans="1:14">
      <c r="A467" s="335">
        <v>460</v>
      </c>
      <c r="B467" s="39">
        <f t="shared" si="54"/>
        <v>394</v>
      </c>
      <c r="C467" s="39">
        <f t="shared" si="55"/>
        <v>454</v>
      </c>
      <c r="F467" s="25" t="s">
        <v>2211</v>
      </c>
      <c r="G467" s="38">
        <v>13</v>
      </c>
      <c r="H467" s="38">
        <v>15</v>
      </c>
      <c r="I467" s="38">
        <v>49.3</v>
      </c>
      <c r="J467" s="38">
        <v>42</v>
      </c>
      <c r="K467" s="38">
        <v>1</v>
      </c>
      <c r="L467" s="38">
        <v>45</v>
      </c>
      <c r="M467" s="22" t="s">
        <v>872</v>
      </c>
      <c r="N467" s="22" t="s">
        <v>873</v>
      </c>
    </row>
    <row r="468" spans="1:14">
      <c r="A468" s="335">
        <v>461</v>
      </c>
      <c r="B468" s="39">
        <f t="shared" si="54"/>
        <v>394</v>
      </c>
      <c r="C468" s="39">
        <f t="shared" si="55"/>
        <v>454</v>
      </c>
      <c r="F468" s="25" t="s">
        <v>2212</v>
      </c>
      <c r="G468" s="38">
        <v>12</v>
      </c>
      <c r="H468" s="38">
        <v>56</v>
      </c>
      <c r="I468" s="38">
        <v>43.7</v>
      </c>
      <c r="J468" s="38">
        <v>21</v>
      </c>
      <c r="K468" s="38">
        <v>40</v>
      </c>
      <c r="L468" s="38">
        <v>58</v>
      </c>
      <c r="M468" s="22" t="s">
        <v>874</v>
      </c>
      <c r="N468" s="22" t="s">
        <v>875</v>
      </c>
    </row>
    <row r="469" spans="1:14">
      <c r="A469" s="335">
        <v>462</v>
      </c>
      <c r="B469" s="39">
        <f t="shared" si="54"/>
        <v>394</v>
      </c>
      <c r="C469" s="39">
        <f t="shared" si="55"/>
        <v>454</v>
      </c>
      <c r="F469" s="25" t="s">
        <v>2213</v>
      </c>
      <c r="G469" s="38">
        <v>11</v>
      </c>
      <c r="H469" s="38">
        <v>18</v>
      </c>
      <c r="I469" s="38">
        <v>56</v>
      </c>
      <c r="J469" s="38">
        <v>13</v>
      </c>
      <c r="K469" s="38">
        <v>5</v>
      </c>
      <c r="L469" s="38">
        <v>32</v>
      </c>
      <c r="M469" s="22" t="s">
        <v>876</v>
      </c>
      <c r="N469" s="22" t="s">
        <v>877</v>
      </c>
    </row>
    <row r="470" spans="1:14">
      <c r="A470" s="335">
        <v>463</v>
      </c>
      <c r="B470" s="39">
        <f t="shared" si="54"/>
        <v>394</v>
      </c>
      <c r="C470" s="39">
        <f t="shared" si="55"/>
        <v>454</v>
      </c>
      <c r="F470" s="25" t="s">
        <v>2214</v>
      </c>
      <c r="G470" s="38">
        <v>11</v>
      </c>
      <c r="H470" s="38">
        <v>20</v>
      </c>
      <c r="I470" s="38">
        <v>15</v>
      </c>
      <c r="J470" s="38">
        <v>12</v>
      </c>
      <c r="K470" s="38">
        <v>59</v>
      </c>
      <c r="L470" s="38">
        <v>29</v>
      </c>
      <c r="M470" s="22" t="s">
        <v>878</v>
      </c>
      <c r="N470" s="22" t="s">
        <v>879</v>
      </c>
    </row>
    <row r="471" spans="1:14">
      <c r="A471" s="335">
        <v>464</v>
      </c>
      <c r="B471" s="39">
        <f t="shared" si="54"/>
        <v>394</v>
      </c>
      <c r="C471" s="39">
        <f t="shared" si="55"/>
        <v>454</v>
      </c>
      <c r="F471" s="25" t="s">
        <v>2215</v>
      </c>
      <c r="G471" s="38">
        <v>8</v>
      </c>
      <c r="H471" s="38">
        <v>51</v>
      </c>
      <c r="I471" s="38">
        <v>18</v>
      </c>
      <c r="J471" s="38">
        <v>11</v>
      </c>
      <c r="K471" s="38">
        <v>48</v>
      </c>
      <c r="L471" s="38">
        <v>0</v>
      </c>
      <c r="M471" s="22" t="s">
        <v>880</v>
      </c>
      <c r="N471" s="22" t="s">
        <v>881</v>
      </c>
    </row>
    <row r="472" spans="1:14">
      <c r="A472" s="335">
        <v>465</v>
      </c>
      <c r="B472" s="39">
        <f t="shared" si="54"/>
        <v>394</v>
      </c>
      <c r="C472" s="39">
        <f t="shared" si="55"/>
        <v>454</v>
      </c>
      <c r="F472" s="25" t="s">
        <v>2216</v>
      </c>
      <c r="G472" s="38">
        <v>12</v>
      </c>
      <c r="H472" s="38">
        <v>39</v>
      </c>
      <c r="I472" s="38">
        <v>28</v>
      </c>
      <c r="J472" s="38">
        <v>-26</v>
      </c>
      <c r="K472" s="38">
        <v>-44</v>
      </c>
      <c r="L472" s="38">
        <v>-39</v>
      </c>
      <c r="M472" s="22" t="s">
        <v>882</v>
      </c>
      <c r="N472" s="22" t="s">
        <v>883</v>
      </c>
    </row>
    <row r="473" spans="1:14">
      <c r="A473" s="335">
        <v>466</v>
      </c>
      <c r="B473" s="39">
        <f t="shared" si="54"/>
        <v>394</v>
      </c>
      <c r="C473" s="39">
        <f t="shared" si="55"/>
        <v>454</v>
      </c>
      <c r="F473" s="25" t="s">
        <v>2217</v>
      </c>
      <c r="G473" s="38">
        <v>18</v>
      </c>
      <c r="H473" s="38">
        <v>31</v>
      </c>
      <c r="I473" s="38">
        <v>23.1</v>
      </c>
      <c r="J473" s="38">
        <v>-32</v>
      </c>
      <c r="K473" s="38">
        <v>-20</v>
      </c>
      <c r="L473" s="38">
        <v>-53</v>
      </c>
      <c r="M473" s="22" t="s">
        <v>884</v>
      </c>
      <c r="N473" s="22" t="s">
        <v>885</v>
      </c>
    </row>
    <row r="474" spans="1:14">
      <c r="A474" s="335">
        <v>467</v>
      </c>
      <c r="B474" s="39">
        <f t="shared" si="54"/>
        <v>394</v>
      </c>
      <c r="C474" s="39">
        <f t="shared" si="55"/>
        <v>454</v>
      </c>
      <c r="F474" s="25" t="s">
        <v>2218</v>
      </c>
      <c r="G474" s="38">
        <v>18</v>
      </c>
      <c r="H474" s="38">
        <v>43</v>
      </c>
      <c r="I474" s="38">
        <v>12.8</v>
      </c>
      <c r="J474" s="38">
        <v>-32</v>
      </c>
      <c r="K474" s="38">
        <v>-17</v>
      </c>
      <c r="L474" s="38">
        <v>-32</v>
      </c>
      <c r="M474" s="22" t="s">
        <v>886</v>
      </c>
      <c r="N474" s="22" t="s">
        <v>887</v>
      </c>
    </row>
    <row r="475" spans="1:14">
      <c r="A475" s="335">
        <v>468</v>
      </c>
      <c r="B475" s="39">
        <f t="shared" si="54"/>
        <v>394</v>
      </c>
      <c r="C475" s="39">
        <f t="shared" si="55"/>
        <v>454</v>
      </c>
      <c r="F475" s="25" t="s">
        <v>2219</v>
      </c>
      <c r="G475" s="38">
        <v>19</v>
      </c>
      <c r="H475" s="38">
        <v>53</v>
      </c>
      <c r="I475" s="38">
        <v>46.1</v>
      </c>
      <c r="J475" s="38">
        <v>18</v>
      </c>
      <c r="K475" s="38">
        <v>46</v>
      </c>
      <c r="L475" s="38">
        <v>45</v>
      </c>
      <c r="M475" s="22" t="s">
        <v>888</v>
      </c>
      <c r="N475" s="22" t="s">
        <v>889</v>
      </c>
    </row>
    <row r="476" spans="1:14">
      <c r="A476" s="335">
        <v>469</v>
      </c>
      <c r="B476" s="39">
        <f t="shared" si="54"/>
        <v>394</v>
      </c>
      <c r="C476" s="39">
        <f t="shared" si="55"/>
        <v>454</v>
      </c>
      <c r="F476" s="25" t="s">
        <v>2220</v>
      </c>
      <c r="G476" s="38">
        <v>20</v>
      </c>
      <c r="H476" s="38">
        <v>53</v>
      </c>
      <c r="I476" s="38">
        <v>27.7</v>
      </c>
      <c r="J476" s="38">
        <v>-12</v>
      </c>
      <c r="K476" s="38">
        <v>-32</v>
      </c>
      <c r="L476" s="38">
        <v>-14</v>
      </c>
      <c r="M476" s="22" t="s">
        <v>890</v>
      </c>
      <c r="N476" s="22" t="s">
        <v>891</v>
      </c>
    </row>
    <row r="477" spans="1:14">
      <c r="A477" s="335">
        <v>470</v>
      </c>
      <c r="B477" s="39">
        <f t="shared" si="54"/>
        <v>394</v>
      </c>
      <c r="C477" s="39">
        <f t="shared" si="55"/>
        <v>454</v>
      </c>
      <c r="F477" s="25" t="s">
        <v>2221</v>
      </c>
      <c r="G477" s="38">
        <v>20</v>
      </c>
      <c r="H477" s="38">
        <v>58</v>
      </c>
      <c r="I477" s="38">
        <v>59</v>
      </c>
      <c r="J477" s="38">
        <v>-12</v>
      </c>
      <c r="K477" s="38">
        <v>-38</v>
      </c>
      <c r="L477" s="38">
        <v>0</v>
      </c>
      <c r="M477" s="22" t="s">
        <v>892</v>
      </c>
      <c r="N477" s="22" t="s">
        <v>893</v>
      </c>
    </row>
    <row r="478" spans="1:14">
      <c r="A478" s="335">
        <v>471</v>
      </c>
      <c r="B478" s="39">
        <f t="shared" si="54"/>
        <v>394</v>
      </c>
      <c r="C478" s="39">
        <f t="shared" si="55"/>
        <v>454</v>
      </c>
      <c r="F478" s="25" t="s">
        <v>2222</v>
      </c>
      <c r="G478" s="38">
        <v>1</v>
      </c>
      <c r="H478" s="38">
        <v>36</v>
      </c>
      <c r="I478" s="38">
        <v>41.8</v>
      </c>
      <c r="J478" s="38">
        <v>15</v>
      </c>
      <c r="K478" s="38">
        <v>47</v>
      </c>
      <c r="L478" s="38">
        <v>0</v>
      </c>
      <c r="M478" s="22" t="s">
        <v>894</v>
      </c>
      <c r="N478" s="22" t="s">
        <v>895</v>
      </c>
    </row>
    <row r="479" spans="1:14">
      <c r="A479" s="335">
        <v>472</v>
      </c>
      <c r="B479" s="39">
        <f t="shared" si="54"/>
        <v>394</v>
      </c>
      <c r="C479" s="39">
        <f t="shared" si="55"/>
        <v>454</v>
      </c>
      <c r="F479" s="25" t="s">
        <v>2223</v>
      </c>
      <c r="G479" s="38">
        <v>20</v>
      </c>
      <c r="H479" s="38">
        <v>6</v>
      </c>
      <c r="I479" s="38">
        <v>4.8</v>
      </c>
      <c r="J479" s="38">
        <v>-21</v>
      </c>
      <c r="K479" s="38">
        <v>-55</v>
      </c>
      <c r="L479" s="38">
        <v>-20</v>
      </c>
      <c r="M479" s="22" t="s">
        <v>896</v>
      </c>
      <c r="N479" s="22" t="s">
        <v>897</v>
      </c>
    </row>
    <row r="480" spans="1:14">
      <c r="A480" s="335">
        <v>473</v>
      </c>
      <c r="B480" s="39">
        <f t="shared" si="54"/>
        <v>394</v>
      </c>
      <c r="C480" s="39">
        <f t="shared" si="55"/>
        <v>454</v>
      </c>
      <c r="F480" s="25" t="s">
        <v>2224</v>
      </c>
      <c r="G480" s="38">
        <v>1</v>
      </c>
      <c r="H480" s="38">
        <v>42</v>
      </c>
      <c r="I480" s="38">
        <v>19.7</v>
      </c>
      <c r="J480" s="38">
        <v>51</v>
      </c>
      <c r="K480" s="38">
        <v>32</v>
      </c>
      <c r="L480" s="38">
        <v>50</v>
      </c>
      <c r="M480" s="22" t="s">
        <v>898</v>
      </c>
      <c r="N480" s="22" t="s">
        <v>899</v>
      </c>
    </row>
    <row r="481" spans="1:14">
      <c r="A481" s="335">
        <v>474</v>
      </c>
      <c r="B481" s="39">
        <f t="shared" si="54"/>
        <v>394</v>
      </c>
      <c r="C481" s="39">
        <f t="shared" si="55"/>
        <v>454</v>
      </c>
      <c r="F481" s="25" t="s">
        <v>2225</v>
      </c>
      <c r="G481" s="38">
        <v>2</v>
      </c>
      <c r="H481" s="38">
        <v>42</v>
      </c>
      <c r="I481" s="38">
        <v>40.799999999999997</v>
      </c>
      <c r="J481" s="38">
        <v>0</v>
      </c>
      <c r="K481" s="38">
        <v>0</v>
      </c>
      <c r="L481" s="38">
        <v>-48</v>
      </c>
      <c r="M481" s="22" t="s">
        <v>900</v>
      </c>
      <c r="N481" s="22" t="s">
        <v>901</v>
      </c>
    </row>
    <row r="482" spans="1:14">
      <c r="A482" s="335">
        <v>475</v>
      </c>
      <c r="B482" s="39">
        <f t="shared" si="54"/>
        <v>394</v>
      </c>
      <c r="C482" s="39">
        <f t="shared" si="55"/>
        <v>454</v>
      </c>
      <c r="F482" s="25" t="s">
        <v>2226</v>
      </c>
      <c r="G482" s="38">
        <v>5</v>
      </c>
      <c r="H482" s="38">
        <v>46</v>
      </c>
      <c r="I482" s="38">
        <v>45.8</v>
      </c>
      <c r="J482" s="38">
        <v>0</v>
      </c>
      <c r="K482" s="38">
        <v>4</v>
      </c>
      <c r="L482" s="38">
        <v>45</v>
      </c>
      <c r="M482" s="22" t="s">
        <v>902</v>
      </c>
      <c r="N482" s="22" t="s">
        <v>903</v>
      </c>
    </row>
    <row r="483" spans="1:14">
      <c r="A483" s="335">
        <v>476</v>
      </c>
      <c r="B483" s="39">
        <f t="shared" si="54"/>
        <v>394</v>
      </c>
      <c r="C483" s="39">
        <f t="shared" si="55"/>
        <v>454</v>
      </c>
      <c r="F483" s="25" t="s">
        <v>2227</v>
      </c>
      <c r="G483" s="38">
        <v>5</v>
      </c>
      <c r="H483" s="38">
        <v>24</v>
      </c>
      <c r="I483" s="38">
        <v>10.6</v>
      </c>
      <c r="J483" s="38">
        <v>-24</v>
      </c>
      <c r="K483" s="38">
        <v>-31</v>
      </c>
      <c r="L483" s="38">
        <v>-27</v>
      </c>
      <c r="M483" s="22" t="s">
        <v>904</v>
      </c>
      <c r="N483" s="22" t="s">
        <v>905</v>
      </c>
    </row>
    <row r="484" spans="1:14">
      <c r="A484" s="335">
        <v>477</v>
      </c>
      <c r="B484" s="39">
        <f t="shared" si="54"/>
        <v>394</v>
      </c>
      <c r="C484" s="39">
        <f t="shared" si="55"/>
        <v>454</v>
      </c>
      <c r="F484" s="25" t="s">
        <v>2228</v>
      </c>
      <c r="G484" s="38">
        <v>16</v>
      </c>
      <c r="H484" s="38">
        <v>17</v>
      </c>
      <c r="I484" s="38">
        <v>2.4</v>
      </c>
      <c r="J484" s="38">
        <v>-22</v>
      </c>
      <c r="K484" s="38">
        <v>-58</v>
      </c>
      <c r="L484" s="38">
        <v>-34</v>
      </c>
      <c r="M484" s="22" t="s">
        <v>906</v>
      </c>
      <c r="N484" s="22" t="s">
        <v>907</v>
      </c>
    </row>
    <row r="485" spans="1:14">
      <c r="A485" s="335">
        <v>478</v>
      </c>
      <c r="B485" s="39">
        <f t="shared" si="54"/>
        <v>394</v>
      </c>
      <c r="C485" s="39">
        <f t="shared" si="55"/>
        <v>454</v>
      </c>
      <c r="F485" s="25" t="s">
        <v>2229</v>
      </c>
      <c r="G485" s="38">
        <v>9</v>
      </c>
      <c r="H485" s="38">
        <v>55</v>
      </c>
      <c r="I485" s="38">
        <v>33.200000000000003</v>
      </c>
      <c r="J485" s="38">
        <v>69</v>
      </c>
      <c r="K485" s="38">
        <v>3</v>
      </c>
      <c r="L485" s="38">
        <v>55</v>
      </c>
      <c r="M485" s="22" t="s">
        <v>908</v>
      </c>
      <c r="N485" s="22" t="s">
        <v>909</v>
      </c>
    </row>
    <row r="486" spans="1:14">
      <c r="A486" s="335">
        <v>479</v>
      </c>
      <c r="B486" s="39">
        <f t="shared" si="54"/>
        <v>394</v>
      </c>
      <c r="C486" s="39">
        <f t="shared" si="55"/>
        <v>454</v>
      </c>
      <c r="F486" s="41" t="s">
        <v>3400</v>
      </c>
      <c r="G486" s="38">
        <v>9</v>
      </c>
      <c r="H486" s="38">
        <v>55</v>
      </c>
      <c r="I486" s="38">
        <v>52.4</v>
      </c>
      <c r="J486" s="38">
        <v>69</v>
      </c>
      <c r="K486" s="38">
        <v>40</v>
      </c>
      <c r="L486" s="38">
        <v>47</v>
      </c>
      <c r="M486" s="22" t="s">
        <v>3401</v>
      </c>
      <c r="N486" s="22" t="s">
        <v>3402</v>
      </c>
    </row>
    <row r="487" spans="1:14">
      <c r="A487" s="335">
        <v>480</v>
      </c>
      <c r="B487" s="39">
        <f t="shared" si="54"/>
        <v>394</v>
      </c>
      <c r="C487" s="39">
        <f t="shared" si="55"/>
        <v>454</v>
      </c>
      <c r="F487" s="25" t="s">
        <v>2230</v>
      </c>
      <c r="G487" s="38">
        <v>13</v>
      </c>
      <c r="H487" s="38">
        <v>37</v>
      </c>
      <c r="I487" s="38">
        <v>0.9</v>
      </c>
      <c r="J487" s="38">
        <v>-29</v>
      </c>
      <c r="K487" s="38">
        <v>-51</v>
      </c>
      <c r="L487" s="38">
        <v>-57</v>
      </c>
      <c r="M487" s="22" t="s">
        <v>910</v>
      </c>
      <c r="N487" s="22" t="s">
        <v>911</v>
      </c>
    </row>
    <row r="488" spans="1:14">
      <c r="A488" s="335">
        <v>481</v>
      </c>
      <c r="B488" s="39">
        <f t="shared" si="54"/>
        <v>394</v>
      </c>
      <c r="C488" s="39">
        <f t="shared" si="55"/>
        <v>454</v>
      </c>
      <c r="F488" s="25" t="s">
        <v>2231</v>
      </c>
      <c r="G488" s="38">
        <v>12</v>
      </c>
      <c r="H488" s="38">
        <v>25</v>
      </c>
      <c r="I488" s="38">
        <v>3.7</v>
      </c>
      <c r="J488" s="38">
        <v>12</v>
      </c>
      <c r="K488" s="38">
        <v>53</v>
      </c>
      <c r="L488" s="38">
        <v>13</v>
      </c>
      <c r="M488" s="22" t="s">
        <v>912</v>
      </c>
      <c r="N488" s="22" t="s">
        <v>913</v>
      </c>
    </row>
    <row r="489" spans="1:14">
      <c r="A489" s="335">
        <v>482</v>
      </c>
      <c r="B489" s="39">
        <f t="shared" si="54"/>
        <v>394</v>
      </c>
      <c r="C489" s="39">
        <f t="shared" si="55"/>
        <v>454</v>
      </c>
      <c r="F489" s="25" t="s">
        <v>2232</v>
      </c>
      <c r="G489" s="38">
        <v>12</v>
      </c>
      <c r="H489" s="38">
        <v>25</v>
      </c>
      <c r="I489" s="38">
        <v>24.1</v>
      </c>
      <c r="J489" s="38">
        <v>18</v>
      </c>
      <c r="K489" s="38">
        <v>11</v>
      </c>
      <c r="L489" s="38">
        <v>28</v>
      </c>
      <c r="M489" s="22" t="s">
        <v>914</v>
      </c>
      <c r="N489" s="22" t="s">
        <v>915</v>
      </c>
    </row>
    <row r="490" spans="1:14">
      <c r="A490" s="335">
        <v>483</v>
      </c>
      <c r="B490" s="39">
        <f t="shared" si="54"/>
        <v>394</v>
      </c>
      <c r="C490" s="39">
        <f t="shared" si="55"/>
        <v>454</v>
      </c>
      <c r="F490" s="25" t="s">
        <v>2233</v>
      </c>
      <c r="G490" s="38">
        <v>12</v>
      </c>
      <c r="H490" s="38">
        <v>26</v>
      </c>
      <c r="I490" s="38">
        <v>11.8</v>
      </c>
      <c r="J490" s="38">
        <v>12</v>
      </c>
      <c r="K490" s="38">
        <v>56</v>
      </c>
      <c r="L490" s="38">
        <v>45</v>
      </c>
      <c r="M490" s="22" t="s">
        <v>916</v>
      </c>
      <c r="N490" s="22" t="s">
        <v>917</v>
      </c>
    </row>
    <row r="491" spans="1:14">
      <c r="A491" s="335">
        <v>484</v>
      </c>
      <c r="B491" s="39">
        <f t="shared" si="54"/>
        <v>394</v>
      </c>
      <c r="C491" s="39">
        <f t="shared" si="55"/>
        <v>454</v>
      </c>
      <c r="F491" s="25" t="s">
        <v>2234</v>
      </c>
      <c r="G491" s="38">
        <v>12</v>
      </c>
      <c r="H491" s="38">
        <v>30</v>
      </c>
      <c r="I491" s="38">
        <v>49.4</v>
      </c>
      <c r="J491" s="38">
        <v>12</v>
      </c>
      <c r="K491" s="38">
        <v>23</v>
      </c>
      <c r="L491" s="38">
        <v>28</v>
      </c>
      <c r="M491" s="22" t="s">
        <v>918</v>
      </c>
      <c r="N491" s="22" t="s">
        <v>919</v>
      </c>
    </row>
    <row r="492" spans="1:14">
      <c r="A492" s="335">
        <v>485</v>
      </c>
      <c r="B492" s="39">
        <f t="shared" si="54"/>
        <v>394</v>
      </c>
      <c r="C492" s="39">
        <f t="shared" si="55"/>
        <v>454</v>
      </c>
      <c r="F492" s="25" t="s">
        <v>2235</v>
      </c>
      <c r="G492" s="38">
        <v>12</v>
      </c>
      <c r="H492" s="38">
        <v>31</v>
      </c>
      <c r="I492" s="38">
        <v>59.2</v>
      </c>
      <c r="J492" s="38">
        <v>14</v>
      </c>
      <c r="K492" s="38">
        <v>25</v>
      </c>
      <c r="L492" s="38">
        <v>13</v>
      </c>
      <c r="M492" s="22" t="s">
        <v>920</v>
      </c>
      <c r="N492" s="22" t="s">
        <v>921</v>
      </c>
    </row>
    <row r="493" spans="1:14">
      <c r="A493" s="335">
        <v>486</v>
      </c>
      <c r="B493" s="39">
        <f t="shared" si="54"/>
        <v>394</v>
      </c>
      <c r="C493" s="39">
        <f t="shared" si="55"/>
        <v>454</v>
      </c>
      <c r="F493" s="25" t="s">
        <v>2236</v>
      </c>
      <c r="G493" s="38">
        <v>12</v>
      </c>
      <c r="H493" s="38">
        <v>35</v>
      </c>
      <c r="I493" s="38">
        <v>39.799999999999997</v>
      </c>
      <c r="J493" s="38">
        <v>12</v>
      </c>
      <c r="K493" s="38">
        <v>33</v>
      </c>
      <c r="L493" s="38">
        <v>23</v>
      </c>
      <c r="M493" s="22" t="s">
        <v>922</v>
      </c>
      <c r="N493" s="22" t="s">
        <v>923</v>
      </c>
    </row>
    <row r="494" spans="1:14">
      <c r="A494" s="335">
        <v>487</v>
      </c>
      <c r="B494" s="39">
        <f t="shared" si="54"/>
        <v>394</v>
      </c>
      <c r="C494" s="39">
        <f t="shared" si="55"/>
        <v>454</v>
      </c>
      <c r="F494" s="25" t="s">
        <v>2237</v>
      </c>
      <c r="G494" s="38">
        <v>12</v>
      </c>
      <c r="H494" s="38">
        <v>36</v>
      </c>
      <c r="I494" s="38">
        <v>49.8</v>
      </c>
      <c r="J494" s="38">
        <v>13</v>
      </c>
      <c r="K494" s="38">
        <v>9</v>
      </c>
      <c r="L494" s="38">
        <v>46</v>
      </c>
      <c r="M494" s="22" t="s">
        <v>924</v>
      </c>
      <c r="N494" s="22" t="s">
        <v>925</v>
      </c>
    </row>
    <row r="495" spans="1:14">
      <c r="A495" s="335">
        <v>488</v>
      </c>
      <c r="B495" s="39">
        <f t="shared" si="54"/>
        <v>394</v>
      </c>
      <c r="C495" s="39">
        <f t="shared" si="55"/>
        <v>454</v>
      </c>
      <c r="F495" s="25" t="s">
        <v>2238</v>
      </c>
      <c r="G495" s="38">
        <v>12</v>
      </c>
      <c r="H495" s="38">
        <v>35</v>
      </c>
      <c r="I495" s="38">
        <v>26.4</v>
      </c>
      <c r="J495" s="38">
        <v>14</v>
      </c>
      <c r="K495" s="38">
        <v>29</v>
      </c>
      <c r="L495" s="38">
        <v>47</v>
      </c>
      <c r="M495" s="22" t="s">
        <v>926</v>
      </c>
      <c r="N495" s="22" t="s">
        <v>927</v>
      </c>
    </row>
    <row r="496" spans="1:14">
      <c r="A496" s="335">
        <v>489</v>
      </c>
      <c r="B496" s="39">
        <f t="shared" si="54"/>
        <v>394</v>
      </c>
      <c r="C496" s="39">
        <f t="shared" si="55"/>
        <v>454</v>
      </c>
      <c r="F496" s="25" t="s">
        <v>2239</v>
      </c>
      <c r="G496" s="38">
        <v>17</v>
      </c>
      <c r="H496" s="38">
        <v>17</v>
      </c>
      <c r="I496" s="38">
        <v>7.4</v>
      </c>
      <c r="J496" s="38">
        <v>43</v>
      </c>
      <c r="K496" s="38">
        <v>8</v>
      </c>
      <c r="L496" s="38">
        <v>9</v>
      </c>
      <c r="M496" s="22" t="s">
        <v>928</v>
      </c>
      <c r="N496" s="22" t="s">
        <v>929</v>
      </c>
    </row>
    <row r="497" spans="1:14">
      <c r="A497" s="335">
        <v>490</v>
      </c>
      <c r="B497" s="39">
        <f t="shared" si="54"/>
        <v>394</v>
      </c>
      <c r="C497" s="39">
        <f t="shared" si="55"/>
        <v>454</v>
      </c>
      <c r="F497" s="25" t="s">
        <v>2240</v>
      </c>
      <c r="G497" s="38">
        <v>7</v>
      </c>
      <c r="H497" s="38">
        <v>44</v>
      </c>
      <c r="I497" s="38">
        <v>30</v>
      </c>
      <c r="J497" s="38">
        <v>-23</v>
      </c>
      <c r="K497" s="38">
        <v>-51</v>
      </c>
      <c r="L497" s="38">
        <v>-2</v>
      </c>
      <c r="M497" s="22" t="s">
        <v>930</v>
      </c>
      <c r="N497" s="22" t="s">
        <v>931</v>
      </c>
    </row>
    <row r="498" spans="1:14">
      <c r="A498" s="335">
        <v>491</v>
      </c>
      <c r="B498" s="39">
        <f t="shared" si="54"/>
        <v>394</v>
      </c>
      <c r="C498" s="39">
        <f t="shared" si="55"/>
        <v>454</v>
      </c>
      <c r="F498" s="25" t="s">
        <v>2241</v>
      </c>
      <c r="G498" s="38">
        <v>12</v>
      </c>
      <c r="H498" s="38">
        <v>50</v>
      </c>
      <c r="I498" s="38">
        <v>53.1</v>
      </c>
      <c r="J498" s="38">
        <v>41</v>
      </c>
      <c r="K498" s="38">
        <v>7</v>
      </c>
      <c r="L498" s="38">
        <v>13</v>
      </c>
      <c r="M498" s="22" t="s">
        <v>932</v>
      </c>
      <c r="N498" s="22" t="s">
        <v>933</v>
      </c>
    </row>
    <row r="499" spans="1:14">
      <c r="A499" s="335">
        <v>492</v>
      </c>
      <c r="B499" s="39">
        <f t="shared" si="54"/>
        <v>394</v>
      </c>
      <c r="C499" s="39">
        <f t="shared" si="55"/>
        <v>454</v>
      </c>
      <c r="F499" s="25" t="s">
        <v>2242</v>
      </c>
      <c r="G499" s="38">
        <v>10</v>
      </c>
      <c r="H499" s="38">
        <v>43</v>
      </c>
      <c r="I499" s="38">
        <v>57.7</v>
      </c>
      <c r="J499" s="38">
        <v>11</v>
      </c>
      <c r="K499" s="38">
        <v>42</v>
      </c>
      <c r="L499" s="38">
        <v>13</v>
      </c>
      <c r="M499" s="22" t="s">
        <v>934</v>
      </c>
      <c r="N499" s="22" t="s">
        <v>935</v>
      </c>
    </row>
    <row r="500" spans="1:14">
      <c r="A500" s="335">
        <v>493</v>
      </c>
      <c r="B500" s="39">
        <f t="shared" si="54"/>
        <v>394</v>
      </c>
      <c r="C500" s="39">
        <f t="shared" si="55"/>
        <v>454</v>
      </c>
      <c r="F500" s="25" t="s">
        <v>2243</v>
      </c>
      <c r="G500" s="38">
        <v>10</v>
      </c>
      <c r="H500" s="38">
        <v>46</v>
      </c>
      <c r="I500" s="38">
        <v>45.8</v>
      </c>
      <c r="J500" s="38">
        <v>11</v>
      </c>
      <c r="K500" s="38">
        <v>49</v>
      </c>
      <c r="L500" s="38">
        <v>12</v>
      </c>
      <c r="M500" s="22" t="s">
        <v>936</v>
      </c>
      <c r="N500" s="22" t="s">
        <v>937</v>
      </c>
    </row>
    <row r="501" spans="1:14">
      <c r="A501" s="335">
        <v>494</v>
      </c>
      <c r="B501" s="39">
        <f t="shared" si="54"/>
        <v>394</v>
      </c>
      <c r="C501" s="39">
        <f t="shared" si="55"/>
        <v>454</v>
      </c>
      <c r="F501" s="25" t="s">
        <v>2244</v>
      </c>
      <c r="G501" s="38">
        <v>11</v>
      </c>
      <c r="H501" s="38">
        <v>14</v>
      </c>
      <c r="I501" s="38">
        <v>47.7</v>
      </c>
      <c r="J501" s="38">
        <v>55</v>
      </c>
      <c r="K501" s="38">
        <v>1</v>
      </c>
      <c r="L501" s="38">
        <v>9</v>
      </c>
      <c r="M501" s="22" t="s">
        <v>938</v>
      </c>
      <c r="N501" s="22" t="s">
        <v>939</v>
      </c>
    </row>
    <row r="502" spans="1:14">
      <c r="A502" s="335">
        <v>495</v>
      </c>
      <c r="B502" s="39">
        <f t="shared" si="54"/>
        <v>394</v>
      </c>
      <c r="C502" s="39">
        <f t="shared" si="55"/>
        <v>454</v>
      </c>
      <c r="F502" s="25" t="s">
        <v>2245</v>
      </c>
      <c r="G502" s="38">
        <v>12</v>
      </c>
      <c r="H502" s="38">
        <v>13</v>
      </c>
      <c r="I502" s="38">
        <v>48.3</v>
      </c>
      <c r="J502" s="38">
        <v>14</v>
      </c>
      <c r="K502" s="38">
        <v>54</v>
      </c>
      <c r="L502" s="38">
        <v>2</v>
      </c>
      <c r="M502" s="22" t="s">
        <v>940</v>
      </c>
      <c r="N502" s="22" t="s">
        <v>941</v>
      </c>
    </row>
    <row r="503" spans="1:14">
      <c r="A503" s="335">
        <v>496</v>
      </c>
      <c r="B503" s="39">
        <f t="shared" si="54"/>
        <v>394</v>
      </c>
      <c r="C503" s="39">
        <f t="shared" si="55"/>
        <v>454</v>
      </c>
      <c r="F503" s="25" t="s">
        <v>2246</v>
      </c>
      <c r="G503" s="38">
        <v>12</v>
      </c>
      <c r="H503" s="38">
        <v>18</v>
      </c>
      <c r="I503" s="38">
        <v>49.6</v>
      </c>
      <c r="J503" s="38">
        <v>14</v>
      </c>
      <c r="K503" s="38">
        <v>24</v>
      </c>
      <c r="L503" s="38">
        <v>59</v>
      </c>
      <c r="M503" s="22" t="s">
        <v>942</v>
      </c>
      <c r="N503" s="22" t="s">
        <v>943</v>
      </c>
    </row>
    <row r="504" spans="1:14">
      <c r="A504" s="335">
        <v>497</v>
      </c>
      <c r="B504" s="39">
        <f t="shared" si="54"/>
        <v>394</v>
      </c>
      <c r="C504" s="39">
        <f t="shared" si="55"/>
        <v>454</v>
      </c>
      <c r="F504" s="25" t="s">
        <v>944</v>
      </c>
      <c r="G504" s="38">
        <v>12</v>
      </c>
      <c r="H504" s="38">
        <v>22</v>
      </c>
      <c r="I504" s="38">
        <v>54.9</v>
      </c>
      <c r="J504" s="38">
        <v>15</v>
      </c>
      <c r="K504" s="38">
        <v>49</v>
      </c>
      <c r="L504" s="38">
        <v>21</v>
      </c>
      <c r="M504" s="22" t="s">
        <v>945</v>
      </c>
      <c r="N504" s="22" t="s">
        <v>946</v>
      </c>
    </row>
    <row r="505" spans="1:14">
      <c r="A505" s="335">
        <v>498</v>
      </c>
      <c r="B505" s="39">
        <f t="shared" si="54"/>
        <v>394</v>
      </c>
      <c r="C505" s="39">
        <f t="shared" si="55"/>
        <v>454</v>
      </c>
      <c r="F505" s="25" t="s">
        <v>947</v>
      </c>
      <c r="G505" s="38">
        <v>14</v>
      </c>
      <c r="H505" s="38">
        <v>3</v>
      </c>
      <c r="I505" s="38">
        <v>12.6</v>
      </c>
      <c r="J505" s="38">
        <v>54</v>
      </c>
      <c r="K505" s="38">
        <v>20</v>
      </c>
      <c r="L505" s="38">
        <v>55</v>
      </c>
      <c r="M505" s="22" t="s">
        <v>948</v>
      </c>
      <c r="N505" s="22" t="s">
        <v>949</v>
      </c>
    </row>
    <row r="506" spans="1:14">
      <c r="A506" s="335">
        <v>499</v>
      </c>
      <c r="B506" s="39">
        <f t="shared" si="54"/>
        <v>394</v>
      </c>
      <c r="C506" s="39">
        <f t="shared" si="55"/>
        <v>454</v>
      </c>
      <c r="F506" s="25" t="s">
        <v>950</v>
      </c>
      <c r="G506" s="38">
        <v>15</v>
      </c>
      <c r="H506" s="38">
        <v>6</v>
      </c>
      <c r="I506" s="38">
        <v>29.6</v>
      </c>
      <c r="J506" s="38">
        <v>55</v>
      </c>
      <c r="K506" s="38">
        <v>45</v>
      </c>
      <c r="L506" s="38">
        <v>48</v>
      </c>
      <c r="M506" s="22" t="s">
        <v>951</v>
      </c>
      <c r="N506" s="22" t="s">
        <v>952</v>
      </c>
    </row>
    <row r="507" spans="1:14">
      <c r="A507" s="335">
        <v>500</v>
      </c>
      <c r="B507" s="39">
        <f t="shared" si="54"/>
        <v>394</v>
      </c>
      <c r="C507" s="39">
        <f t="shared" si="55"/>
        <v>454</v>
      </c>
      <c r="F507" s="25" t="s">
        <v>953</v>
      </c>
      <c r="G507" s="38">
        <v>1</v>
      </c>
      <c r="H507" s="38">
        <v>33</v>
      </c>
      <c r="I507" s="38">
        <v>23</v>
      </c>
      <c r="J507" s="38">
        <v>60</v>
      </c>
      <c r="K507" s="38">
        <v>39</v>
      </c>
      <c r="L507" s="38">
        <v>0</v>
      </c>
      <c r="M507" s="22" t="s">
        <v>954</v>
      </c>
      <c r="N507" s="22" t="s">
        <v>955</v>
      </c>
    </row>
    <row r="508" spans="1:14">
      <c r="A508" s="335">
        <v>501</v>
      </c>
      <c r="B508" s="39">
        <f t="shared" si="54"/>
        <v>394</v>
      </c>
      <c r="C508" s="39">
        <f t="shared" si="55"/>
        <v>454</v>
      </c>
      <c r="F508" s="25" t="s">
        <v>956</v>
      </c>
      <c r="G508" s="38">
        <v>12</v>
      </c>
      <c r="H508" s="38">
        <v>39</v>
      </c>
      <c r="I508" s="38">
        <v>59.4</v>
      </c>
      <c r="J508" s="38">
        <v>-11</v>
      </c>
      <c r="K508" s="38">
        <v>-37</v>
      </c>
      <c r="L508" s="38">
        <v>-23</v>
      </c>
      <c r="M508" s="22" t="s">
        <v>957</v>
      </c>
      <c r="N508" s="22" t="s">
        <v>958</v>
      </c>
    </row>
    <row r="509" spans="1:14">
      <c r="A509" s="335">
        <v>502</v>
      </c>
      <c r="B509" s="39">
        <f t="shared" si="54"/>
        <v>394</v>
      </c>
      <c r="C509" s="39">
        <f t="shared" si="55"/>
        <v>454</v>
      </c>
      <c r="F509" s="25" t="s">
        <v>959</v>
      </c>
      <c r="G509" s="38">
        <v>10</v>
      </c>
      <c r="H509" s="38">
        <v>47</v>
      </c>
      <c r="I509" s="38">
        <v>49.6</v>
      </c>
      <c r="J509" s="38">
        <v>12</v>
      </c>
      <c r="K509" s="38">
        <v>34</v>
      </c>
      <c r="L509" s="38">
        <v>54</v>
      </c>
      <c r="M509" s="22" t="s">
        <v>960</v>
      </c>
      <c r="N509" s="22" t="s">
        <v>961</v>
      </c>
    </row>
    <row r="510" spans="1:14">
      <c r="A510" s="335">
        <v>503</v>
      </c>
      <c r="B510" s="39">
        <f t="shared" si="54"/>
        <v>394</v>
      </c>
      <c r="C510" s="39">
        <f t="shared" si="55"/>
        <v>454</v>
      </c>
      <c r="F510" s="25" t="s">
        <v>962</v>
      </c>
      <c r="G510" s="38">
        <v>12</v>
      </c>
      <c r="H510" s="38">
        <v>18</v>
      </c>
      <c r="I510" s="38">
        <v>57.6</v>
      </c>
      <c r="J510" s="38">
        <v>47</v>
      </c>
      <c r="K510" s="38">
        <v>18</v>
      </c>
      <c r="L510" s="38">
        <v>13</v>
      </c>
      <c r="M510" s="22" t="s">
        <v>963</v>
      </c>
      <c r="N510" s="22" t="s">
        <v>964</v>
      </c>
    </row>
    <row r="511" spans="1:14">
      <c r="A511" s="335">
        <v>504</v>
      </c>
      <c r="B511" s="39">
        <f t="shared" si="54"/>
        <v>394</v>
      </c>
      <c r="C511" s="39">
        <f t="shared" si="55"/>
        <v>454</v>
      </c>
      <c r="F511" s="25" t="s">
        <v>965</v>
      </c>
      <c r="G511" s="38">
        <v>16</v>
      </c>
      <c r="H511" s="38">
        <v>32</v>
      </c>
      <c r="I511" s="38">
        <v>31.9</v>
      </c>
      <c r="J511" s="38">
        <v>-13</v>
      </c>
      <c r="K511" s="38">
        <v>-3</v>
      </c>
      <c r="L511" s="38">
        <v>-14</v>
      </c>
      <c r="M511" s="22" t="s">
        <v>966</v>
      </c>
      <c r="N511" s="22" t="s">
        <v>967</v>
      </c>
    </row>
    <row r="512" spans="1:14">
      <c r="A512" s="335">
        <v>505</v>
      </c>
      <c r="B512" s="39">
        <f t="shared" si="54"/>
        <v>394</v>
      </c>
      <c r="C512" s="39">
        <f t="shared" si="55"/>
        <v>454</v>
      </c>
      <c r="F512" s="25" t="s">
        <v>968</v>
      </c>
      <c r="G512" s="38">
        <v>11</v>
      </c>
      <c r="H512" s="38">
        <v>11</v>
      </c>
      <c r="I512" s="38">
        <v>31</v>
      </c>
      <c r="J512" s="38">
        <v>55</v>
      </c>
      <c r="K512" s="38">
        <v>40</v>
      </c>
      <c r="L512" s="38">
        <v>27</v>
      </c>
      <c r="M512" s="22" t="s">
        <v>969</v>
      </c>
      <c r="N512" s="22" t="s">
        <v>970</v>
      </c>
    </row>
    <row r="513" spans="1:14">
      <c r="A513" s="335">
        <v>506</v>
      </c>
      <c r="B513" s="39">
        <f t="shared" si="54"/>
        <v>394</v>
      </c>
      <c r="C513" s="39">
        <f t="shared" si="55"/>
        <v>454</v>
      </c>
      <c r="F513" s="25" t="s">
        <v>971</v>
      </c>
      <c r="G513" s="38">
        <v>11</v>
      </c>
      <c r="H513" s="38">
        <v>57</v>
      </c>
      <c r="I513" s="38">
        <v>36</v>
      </c>
      <c r="J513" s="38">
        <v>53</v>
      </c>
      <c r="K513" s="38">
        <v>22</v>
      </c>
      <c r="L513" s="38">
        <v>28</v>
      </c>
      <c r="M513" s="22" t="s">
        <v>972</v>
      </c>
      <c r="N513" s="22" t="s">
        <v>973</v>
      </c>
    </row>
    <row r="514" spans="1:14">
      <c r="A514" s="335">
        <v>507</v>
      </c>
      <c r="B514" s="39">
        <f t="shared" si="54"/>
        <v>394</v>
      </c>
      <c r="C514" s="39">
        <f t="shared" si="55"/>
        <v>454</v>
      </c>
      <c r="F514" s="27" t="s">
        <v>2247</v>
      </c>
      <c r="G514" s="26"/>
      <c r="H514" s="26"/>
      <c r="I514" s="26"/>
      <c r="J514" s="26"/>
      <c r="K514" s="26"/>
      <c r="L514" s="26"/>
      <c r="M514" s="26" t="s">
        <v>974</v>
      </c>
      <c r="N514" s="26" t="s">
        <v>3155</v>
      </c>
    </row>
    <row r="515" spans="1:14">
      <c r="A515" s="335">
        <v>508</v>
      </c>
      <c r="B515" s="39">
        <f t="shared" si="54"/>
        <v>394</v>
      </c>
      <c r="C515" s="39">
        <f t="shared" si="55"/>
        <v>454</v>
      </c>
      <c r="F515" s="25" t="s">
        <v>3922</v>
      </c>
      <c r="G515" s="22">
        <v>20</v>
      </c>
      <c r="H515" s="22">
        <v>49</v>
      </c>
      <c r="I515" s="22">
        <v>58.1</v>
      </c>
      <c r="J515" s="22">
        <v>-33</v>
      </c>
      <c r="K515" s="22">
        <v>-46</v>
      </c>
      <c r="L515" s="22">
        <v>-47</v>
      </c>
      <c r="M515" s="22" t="s">
        <v>3916</v>
      </c>
      <c r="N515" s="22" t="s">
        <v>3917</v>
      </c>
    </row>
    <row r="516" spans="1:14">
      <c r="A516" s="335">
        <v>509</v>
      </c>
      <c r="B516" s="39">
        <f t="shared" si="54"/>
        <v>394</v>
      </c>
      <c r="C516" s="39">
        <f t="shared" si="55"/>
        <v>454</v>
      </c>
      <c r="F516" s="25" t="s">
        <v>3923</v>
      </c>
      <c r="G516" s="22">
        <v>21</v>
      </c>
      <c r="H516" s="22">
        <v>1</v>
      </c>
      <c r="I516" s="22">
        <v>17.5</v>
      </c>
      <c r="J516" s="22">
        <v>-32</v>
      </c>
      <c r="K516" s="22">
        <v>-15</v>
      </c>
      <c r="L516" s="22">
        <v>-28</v>
      </c>
      <c r="M516" s="22" t="s">
        <v>3918</v>
      </c>
      <c r="N516" s="22" t="s">
        <v>3919</v>
      </c>
    </row>
    <row r="517" spans="1:14">
      <c r="A517" s="335">
        <v>510</v>
      </c>
      <c r="B517" s="39">
        <f t="shared" si="54"/>
        <v>394</v>
      </c>
      <c r="C517" s="39">
        <f t="shared" si="55"/>
        <v>454</v>
      </c>
      <c r="F517" s="25" t="s">
        <v>3924</v>
      </c>
      <c r="G517" s="22">
        <v>21</v>
      </c>
      <c r="H517" s="22">
        <v>17</v>
      </c>
      <c r="I517" s="22">
        <v>56.3</v>
      </c>
      <c r="J517" s="22">
        <v>-32</v>
      </c>
      <c r="K517" s="22">
        <v>-10</v>
      </c>
      <c r="L517" s="22">
        <v>-21</v>
      </c>
      <c r="M517" s="22" t="s">
        <v>3920</v>
      </c>
      <c r="N517" s="22" t="s">
        <v>3921</v>
      </c>
    </row>
    <row r="518" spans="1:14">
      <c r="A518" s="335">
        <v>511</v>
      </c>
      <c r="B518" s="39">
        <f t="shared" ref="B518:B581" si="56">IF(B517=F518,A518,B517)</f>
        <v>394</v>
      </c>
      <c r="C518" s="39">
        <f t="shared" ref="C518:C581" si="57" xml:space="preserve"> IF(C517=F518,A518,C517)</f>
        <v>454</v>
      </c>
      <c r="F518" s="27" t="s">
        <v>2248</v>
      </c>
      <c r="G518" s="26"/>
      <c r="H518" s="26"/>
      <c r="I518" s="26"/>
      <c r="J518" s="26"/>
      <c r="K518" s="26"/>
      <c r="L518" s="26"/>
      <c r="M518" s="26" t="s">
        <v>975</v>
      </c>
      <c r="N518" s="26" t="s">
        <v>976</v>
      </c>
    </row>
    <row r="519" spans="1:14">
      <c r="A519" s="335">
        <v>512</v>
      </c>
      <c r="B519" s="39">
        <f t="shared" si="56"/>
        <v>394</v>
      </c>
      <c r="C519" s="39">
        <f t="shared" si="57"/>
        <v>454</v>
      </c>
      <c r="F519" s="25" t="s">
        <v>2249</v>
      </c>
      <c r="G519" s="22">
        <v>7</v>
      </c>
      <c r="H519" s="22">
        <v>41</v>
      </c>
      <c r="I519" s="22">
        <v>14.8</v>
      </c>
      <c r="J519" s="22">
        <v>-9</v>
      </c>
      <c r="K519" s="22">
        <v>-33</v>
      </c>
      <c r="L519" s="22">
        <v>-4</v>
      </c>
      <c r="M519" s="22" t="s">
        <v>977</v>
      </c>
      <c r="N519" s="22" t="s">
        <v>978</v>
      </c>
    </row>
    <row r="520" spans="1:14">
      <c r="A520" s="335">
        <v>513</v>
      </c>
      <c r="B520" s="39">
        <f t="shared" si="56"/>
        <v>394</v>
      </c>
      <c r="C520" s="39">
        <f t="shared" si="57"/>
        <v>454</v>
      </c>
      <c r="F520" s="25" t="s">
        <v>2250</v>
      </c>
      <c r="G520" s="22">
        <v>6</v>
      </c>
      <c r="H520" s="22">
        <v>28</v>
      </c>
      <c r="I520" s="22">
        <v>49.1</v>
      </c>
      <c r="J520" s="22">
        <v>-7</v>
      </c>
      <c r="K520" s="22">
        <v>-2</v>
      </c>
      <c r="L520" s="22">
        <v>-4</v>
      </c>
      <c r="M520" s="22" t="s">
        <v>979</v>
      </c>
      <c r="N520" s="22" t="s">
        <v>980</v>
      </c>
    </row>
    <row r="521" spans="1:14">
      <c r="A521" s="335">
        <v>514</v>
      </c>
      <c r="B521" s="39">
        <f t="shared" si="56"/>
        <v>394</v>
      </c>
      <c r="C521" s="39">
        <f t="shared" si="57"/>
        <v>454</v>
      </c>
      <c r="F521" s="25" t="s">
        <v>2251</v>
      </c>
      <c r="G521" s="22">
        <v>6</v>
      </c>
      <c r="H521" s="22">
        <v>14</v>
      </c>
      <c r="I521" s="22">
        <v>51.3</v>
      </c>
      <c r="J521" s="22">
        <v>-6</v>
      </c>
      <c r="K521" s="22">
        <v>-16</v>
      </c>
      <c r="L521" s="22">
        <v>-29</v>
      </c>
      <c r="M521" s="22" t="s">
        <v>981</v>
      </c>
      <c r="N521" s="22" t="s">
        <v>982</v>
      </c>
    </row>
    <row r="522" spans="1:14">
      <c r="A522" s="335">
        <v>515</v>
      </c>
      <c r="B522" s="39">
        <f t="shared" si="56"/>
        <v>394</v>
      </c>
      <c r="C522" s="39">
        <f t="shared" si="57"/>
        <v>454</v>
      </c>
      <c r="F522" s="25" t="s">
        <v>2252</v>
      </c>
      <c r="G522" s="22">
        <v>7</v>
      </c>
      <c r="H522" s="22">
        <v>11</v>
      </c>
      <c r="I522" s="22">
        <v>51.9</v>
      </c>
      <c r="J522" s="22">
        <v>0</v>
      </c>
      <c r="K522" s="22">
        <v>-29</v>
      </c>
      <c r="L522" s="22">
        <v>-34</v>
      </c>
      <c r="M522" s="22" t="s">
        <v>983</v>
      </c>
      <c r="N522" s="22" t="s">
        <v>984</v>
      </c>
    </row>
    <row r="523" spans="1:14">
      <c r="A523" s="335">
        <v>516</v>
      </c>
      <c r="B523" s="39">
        <f t="shared" si="56"/>
        <v>394</v>
      </c>
      <c r="C523" s="39">
        <f t="shared" si="57"/>
        <v>454</v>
      </c>
      <c r="F523" s="25" t="s">
        <v>2253</v>
      </c>
      <c r="G523" s="22">
        <v>6</v>
      </c>
      <c r="H523" s="22">
        <v>23</v>
      </c>
      <c r="I523" s="22">
        <v>46.1</v>
      </c>
      <c r="J523" s="22">
        <v>4</v>
      </c>
      <c r="K523" s="22">
        <v>35</v>
      </c>
      <c r="L523" s="22">
        <v>34</v>
      </c>
      <c r="M523" s="22" t="s">
        <v>985</v>
      </c>
      <c r="N523" s="22" t="s">
        <v>986</v>
      </c>
    </row>
    <row r="524" spans="1:14">
      <c r="A524" s="335">
        <v>517</v>
      </c>
      <c r="B524" s="39">
        <f t="shared" si="56"/>
        <v>394</v>
      </c>
      <c r="C524" s="39">
        <f t="shared" si="57"/>
        <v>454</v>
      </c>
      <c r="F524" s="25" t="s">
        <v>2254</v>
      </c>
      <c r="G524" s="22">
        <v>8</v>
      </c>
      <c r="H524" s="22">
        <v>8</v>
      </c>
      <c r="I524" s="22">
        <v>35.6</v>
      </c>
      <c r="J524" s="22">
        <v>-2</v>
      </c>
      <c r="K524" s="22">
        <v>-59</v>
      </c>
      <c r="L524" s="22">
        <v>-2</v>
      </c>
      <c r="M524" s="22" t="s">
        <v>987</v>
      </c>
      <c r="N524" s="22" t="s">
        <v>988</v>
      </c>
    </row>
    <row r="525" spans="1:14">
      <c r="A525" s="335">
        <v>518</v>
      </c>
      <c r="B525" s="39">
        <f t="shared" si="56"/>
        <v>394</v>
      </c>
      <c r="C525" s="39">
        <f t="shared" si="57"/>
        <v>454</v>
      </c>
      <c r="F525" s="35" t="s">
        <v>2689</v>
      </c>
      <c r="G525" s="35"/>
      <c r="H525" s="35"/>
      <c r="I525" s="35"/>
      <c r="J525" s="35"/>
      <c r="K525" s="35"/>
      <c r="L525" s="35"/>
      <c r="M525" s="35" t="s">
        <v>293</v>
      </c>
      <c r="N525" s="35" t="s">
        <v>989</v>
      </c>
    </row>
    <row r="526" spans="1:14">
      <c r="A526" s="335">
        <v>519</v>
      </c>
      <c r="B526" s="39">
        <f t="shared" si="56"/>
        <v>394</v>
      </c>
      <c r="C526" s="39">
        <f t="shared" si="57"/>
        <v>454</v>
      </c>
      <c r="F526" s="25" t="s">
        <v>2255</v>
      </c>
      <c r="G526" s="38">
        <v>0</v>
      </c>
      <c r="H526" s="38">
        <v>13</v>
      </c>
      <c r="I526" s="38">
        <v>1</v>
      </c>
      <c r="J526" s="38">
        <v>72</v>
      </c>
      <c r="K526" s="38">
        <v>31</v>
      </c>
      <c r="L526" s="38">
        <v>19</v>
      </c>
      <c r="M526" s="22" t="s">
        <v>990</v>
      </c>
      <c r="N526" s="39" t="s">
        <v>991</v>
      </c>
    </row>
    <row r="527" spans="1:14">
      <c r="A527" s="335">
        <v>520</v>
      </c>
      <c r="B527" s="39">
        <f t="shared" si="56"/>
        <v>394</v>
      </c>
      <c r="C527" s="39">
        <f t="shared" si="57"/>
        <v>454</v>
      </c>
      <c r="F527" s="25" t="s">
        <v>2256</v>
      </c>
      <c r="G527" s="38">
        <v>0</v>
      </c>
      <c r="H527" s="38">
        <v>29</v>
      </c>
      <c r="I527" s="38">
        <v>15.1</v>
      </c>
      <c r="J527" s="38">
        <v>2</v>
      </c>
      <c r="K527" s="38">
        <v>51</v>
      </c>
      <c r="L527" s="38">
        <v>51</v>
      </c>
      <c r="M527" s="38" t="s">
        <v>992</v>
      </c>
      <c r="N527" s="38" t="s">
        <v>993</v>
      </c>
    </row>
    <row r="528" spans="1:14">
      <c r="A528" s="335">
        <v>521</v>
      </c>
      <c r="B528" s="39">
        <f t="shared" si="56"/>
        <v>394</v>
      </c>
      <c r="C528" s="39">
        <f t="shared" si="57"/>
        <v>454</v>
      </c>
      <c r="F528" s="25" t="s">
        <v>2257</v>
      </c>
      <c r="G528" s="38">
        <v>0</v>
      </c>
      <c r="H528" s="38">
        <v>30</v>
      </c>
      <c r="I528" s="38">
        <v>21.9</v>
      </c>
      <c r="J528" s="38">
        <v>-33</v>
      </c>
      <c r="K528" s="38">
        <v>-14</v>
      </c>
      <c r="L528" s="38">
        <v>-43</v>
      </c>
      <c r="M528" s="38" t="s">
        <v>994</v>
      </c>
      <c r="N528" s="38" t="s">
        <v>995</v>
      </c>
    </row>
    <row r="529" spans="1:14">
      <c r="A529" s="335">
        <v>522</v>
      </c>
      <c r="B529" s="39">
        <f t="shared" si="56"/>
        <v>394</v>
      </c>
      <c r="C529" s="39">
        <f t="shared" si="57"/>
        <v>454</v>
      </c>
      <c r="F529" s="25" t="s">
        <v>2258</v>
      </c>
      <c r="G529" s="38">
        <v>0</v>
      </c>
      <c r="H529" s="38">
        <v>33</v>
      </c>
      <c r="I529" s="38">
        <v>12.1</v>
      </c>
      <c r="J529" s="38">
        <v>48</v>
      </c>
      <c r="K529" s="38">
        <v>30</v>
      </c>
      <c r="L529" s="38">
        <v>31</v>
      </c>
      <c r="M529" s="38" t="s">
        <v>996</v>
      </c>
      <c r="N529" s="38" t="s">
        <v>997</v>
      </c>
    </row>
    <row r="530" spans="1:14">
      <c r="A530" s="335">
        <v>523</v>
      </c>
      <c r="B530" s="39">
        <f t="shared" si="56"/>
        <v>394</v>
      </c>
      <c r="C530" s="39">
        <f t="shared" si="57"/>
        <v>454</v>
      </c>
      <c r="F530" s="25" t="s">
        <v>2259</v>
      </c>
      <c r="G530" s="38">
        <v>0</v>
      </c>
      <c r="H530" s="38">
        <v>34</v>
      </c>
      <c r="I530" s="38">
        <v>46.8</v>
      </c>
      <c r="J530" s="38">
        <v>-8</v>
      </c>
      <c r="K530" s="38">
        <v>-23</v>
      </c>
      <c r="L530" s="38">
        <v>-47</v>
      </c>
      <c r="M530" s="38" t="s">
        <v>998</v>
      </c>
      <c r="N530" s="38" t="s">
        <v>999</v>
      </c>
    </row>
    <row r="531" spans="1:14">
      <c r="A531" s="335">
        <v>524</v>
      </c>
      <c r="B531" s="39">
        <f t="shared" si="56"/>
        <v>394</v>
      </c>
      <c r="C531" s="39">
        <f t="shared" si="57"/>
        <v>454</v>
      </c>
      <c r="F531" s="25" t="s">
        <v>2260</v>
      </c>
      <c r="G531" s="38">
        <v>0</v>
      </c>
      <c r="H531" s="38">
        <v>38</v>
      </c>
      <c r="I531" s="38">
        <v>58</v>
      </c>
      <c r="J531" s="38">
        <v>48</v>
      </c>
      <c r="K531" s="38">
        <v>20</v>
      </c>
      <c r="L531" s="38">
        <v>15</v>
      </c>
      <c r="M531" s="38" t="s">
        <v>1000</v>
      </c>
      <c r="N531" s="38" t="s">
        <v>1001</v>
      </c>
    </row>
    <row r="532" spans="1:14">
      <c r="A532" s="335">
        <v>525</v>
      </c>
      <c r="B532" s="39">
        <f t="shared" si="56"/>
        <v>394</v>
      </c>
      <c r="C532" s="39">
        <f t="shared" si="57"/>
        <v>454</v>
      </c>
      <c r="F532" s="25" t="s">
        <v>2261</v>
      </c>
      <c r="G532" s="38">
        <v>0</v>
      </c>
      <c r="H532" s="38">
        <v>47</v>
      </c>
      <c r="I532" s="38">
        <v>3.3</v>
      </c>
      <c r="J532" s="38">
        <v>-11</v>
      </c>
      <c r="K532" s="38">
        <v>-52</v>
      </c>
      <c r="L532" s="38">
        <v>-19</v>
      </c>
      <c r="M532" s="38" t="s">
        <v>1002</v>
      </c>
      <c r="N532" s="39" t="s">
        <v>991</v>
      </c>
    </row>
    <row r="533" spans="1:14">
      <c r="A533" s="335">
        <v>526</v>
      </c>
      <c r="B533" s="39">
        <f t="shared" si="56"/>
        <v>394</v>
      </c>
      <c r="C533" s="39">
        <f t="shared" si="57"/>
        <v>454</v>
      </c>
      <c r="F533" s="25" t="s">
        <v>2262</v>
      </c>
      <c r="G533" s="38">
        <v>0</v>
      </c>
      <c r="H533" s="38">
        <v>47</v>
      </c>
      <c r="I533" s="38">
        <v>8.6</v>
      </c>
      <c r="J533" s="38">
        <v>-20</v>
      </c>
      <c r="K533" s="38">
        <v>-37</v>
      </c>
      <c r="L533" s="38">
        <v>-36</v>
      </c>
      <c r="M533" s="22" t="s">
        <v>1003</v>
      </c>
      <c r="N533" s="38" t="s">
        <v>1004</v>
      </c>
    </row>
    <row r="534" spans="1:14">
      <c r="A534" s="335">
        <v>527</v>
      </c>
      <c r="B534" s="39">
        <f t="shared" si="56"/>
        <v>394</v>
      </c>
      <c r="C534" s="39">
        <f t="shared" si="57"/>
        <v>454</v>
      </c>
      <c r="F534" s="25" t="s">
        <v>2263</v>
      </c>
      <c r="G534" s="38">
        <v>0</v>
      </c>
      <c r="H534" s="38">
        <v>47</v>
      </c>
      <c r="I534" s="38">
        <v>33.1</v>
      </c>
      <c r="J534" s="38">
        <v>-25</v>
      </c>
      <c r="K534" s="38">
        <v>-17</v>
      </c>
      <c r="L534" s="38">
        <v>-20</v>
      </c>
      <c r="M534" s="38" t="s">
        <v>1005</v>
      </c>
      <c r="N534" s="38" t="s">
        <v>1006</v>
      </c>
    </row>
    <row r="535" spans="1:14">
      <c r="A535" s="335">
        <v>528</v>
      </c>
      <c r="B535" s="39">
        <f t="shared" si="56"/>
        <v>394</v>
      </c>
      <c r="C535" s="39">
        <f t="shared" si="57"/>
        <v>454</v>
      </c>
      <c r="F535" s="25" t="s">
        <v>2264</v>
      </c>
      <c r="G535" s="38">
        <v>0</v>
      </c>
      <c r="H535" s="38">
        <v>52</v>
      </c>
      <c r="I535" s="38">
        <v>4.3</v>
      </c>
      <c r="J535" s="38">
        <v>47</v>
      </c>
      <c r="K535" s="38">
        <v>33</v>
      </c>
      <c r="L535" s="38">
        <v>2</v>
      </c>
      <c r="M535" s="38" t="s">
        <v>1007</v>
      </c>
      <c r="N535" s="38" t="s">
        <v>1008</v>
      </c>
    </row>
    <row r="536" spans="1:14">
      <c r="A536" s="335">
        <v>529</v>
      </c>
      <c r="B536" s="39">
        <f t="shared" si="56"/>
        <v>394</v>
      </c>
      <c r="C536" s="39">
        <f t="shared" si="57"/>
        <v>454</v>
      </c>
      <c r="F536" s="25" t="s">
        <v>2265</v>
      </c>
      <c r="G536" s="38">
        <v>0</v>
      </c>
      <c r="H536" s="38">
        <v>52</v>
      </c>
      <c r="I536" s="38">
        <v>25.1</v>
      </c>
      <c r="J536" s="38">
        <v>56</v>
      </c>
      <c r="K536" s="38">
        <v>33</v>
      </c>
      <c r="L536" s="38">
        <v>34</v>
      </c>
      <c r="M536" s="38" t="s">
        <v>1009</v>
      </c>
      <c r="N536" s="44" t="s">
        <v>1010</v>
      </c>
    </row>
    <row r="537" spans="1:14">
      <c r="A537" s="335">
        <v>530</v>
      </c>
      <c r="B537" s="39">
        <f t="shared" si="56"/>
        <v>394</v>
      </c>
      <c r="C537" s="39">
        <f t="shared" si="57"/>
        <v>454</v>
      </c>
      <c r="F537" s="25" t="s">
        <v>2266</v>
      </c>
      <c r="G537" s="38">
        <v>0</v>
      </c>
      <c r="H537" s="38">
        <v>52</v>
      </c>
      <c r="I537" s="38">
        <v>45.2</v>
      </c>
      <c r="J537" s="38">
        <v>-26</v>
      </c>
      <c r="K537" s="38">
        <v>-34</v>
      </c>
      <c r="L537" s="38">
        <v>-57</v>
      </c>
      <c r="M537" s="22" t="s">
        <v>1011</v>
      </c>
      <c r="N537" s="39" t="s">
        <v>1012</v>
      </c>
    </row>
    <row r="538" spans="1:14">
      <c r="A538" s="335">
        <v>531</v>
      </c>
      <c r="B538" s="39">
        <f t="shared" si="56"/>
        <v>394</v>
      </c>
      <c r="C538" s="39">
        <f t="shared" si="57"/>
        <v>454</v>
      </c>
      <c r="F538" s="25" t="s">
        <v>2267</v>
      </c>
      <c r="G538" s="38">
        <v>1</v>
      </c>
      <c r="H538" s="38">
        <v>9</v>
      </c>
      <c r="I538" s="38">
        <v>27.1</v>
      </c>
      <c r="J538" s="38">
        <v>35</v>
      </c>
      <c r="K538" s="38">
        <v>43</v>
      </c>
      <c r="L538" s="38">
        <v>5</v>
      </c>
      <c r="M538" s="38" t="s">
        <v>1013</v>
      </c>
      <c r="N538" s="38" t="s">
        <v>1014</v>
      </c>
    </row>
    <row r="539" spans="1:14">
      <c r="A539" s="335">
        <v>532</v>
      </c>
      <c r="B539" s="39">
        <f t="shared" si="56"/>
        <v>394</v>
      </c>
      <c r="C539" s="39">
        <f t="shared" si="57"/>
        <v>454</v>
      </c>
      <c r="F539" s="25" t="s">
        <v>2268</v>
      </c>
      <c r="G539" s="38">
        <v>1</v>
      </c>
      <c r="H539" s="38">
        <v>19</v>
      </c>
      <c r="I539" s="38">
        <v>35</v>
      </c>
      <c r="J539" s="38">
        <v>58</v>
      </c>
      <c r="K539" s="38">
        <v>17</v>
      </c>
      <c r="L539" s="38">
        <v>1</v>
      </c>
      <c r="M539" s="22" t="s">
        <v>1015</v>
      </c>
      <c r="N539" s="38" t="s">
        <v>991</v>
      </c>
    </row>
    <row r="540" spans="1:14">
      <c r="A540" s="335">
        <v>533</v>
      </c>
      <c r="B540" s="39">
        <f t="shared" si="56"/>
        <v>394</v>
      </c>
      <c r="C540" s="39">
        <f t="shared" si="57"/>
        <v>454</v>
      </c>
      <c r="F540" s="25" t="s">
        <v>2269</v>
      </c>
      <c r="G540" s="38">
        <v>1</v>
      </c>
      <c r="H540" s="38">
        <v>21</v>
      </c>
      <c r="I540" s="38">
        <v>46.8</v>
      </c>
      <c r="J540" s="38">
        <v>5</v>
      </c>
      <c r="K540" s="38">
        <v>15</v>
      </c>
      <c r="L540" s="38">
        <v>24</v>
      </c>
      <c r="M540" s="22" t="s">
        <v>1016</v>
      </c>
      <c r="N540" s="38" t="s">
        <v>1017</v>
      </c>
    </row>
    <row r="541" spans="1:14">
      <c r="A541" s="335">
        <v>534</v>
      </c>
      <c r="B541" s="39">
        <f t="shared" si="56"/>
        <v>394</v>
      </c>
      <c r="C541" s="39">
        <f t="shared" si="57"/>
        <v>454</v>
      </c>
      <c r="F541" s="25" t="s">
        <v>2270</v>
      </c>
      <c r="G541" s="38">
        <v>1</v>
      </c>
      <c r="H541" s="38">
        <v>24</v>
      </c>
      <c r="I541" s="38">
        <v>47.7</v>
      </c>
      <c r="J541" s="38">
        <v>9</v>
      </c>
      <c r="K541" s="38">
        <v>32</v>
      </c>
      <c r="L541" s="38">
        <v>20</v>
      </c>
      <c r="M541" s="22" t="s">
        <v>1018</v>
      </c>
      <c r="N541" s="38" t="s">
        <v>1017</v>
      </c>
    </row>
    <row r="542" spans="1:14">
      <c r="A542" s="335">
        <v>535</v>
      </c>
      <c r="B542" s="39">
        <f t="shared" si="56"/>
        <v>394</v>
      </c>
      <c r="C542" s="39">
        <f t="shared" si="57"/>
        <v>454</v>
      </c>
      <c r="F542" s="25" t="s">
        <v>2271</v>
      </c>
      <c r="G542" s="38">
        <v>1</v>
      </c>
      <c r="H542" s="38">
        <v>31</v>
      </c>
      <c r="I542" s="38">
        <v>20.8</v>
      </c>
      <c r="J542" s="38">
        <v>-6</v>
      </c>
      <c r="K542" s="38">
        <v>-52</v>
      </c>
      <c r="L542" s="38">
        <v>-5</v>
      </c>
      <c r="M542" s="22" t="s">
        <v>1019</v>
      </c>
      <c r="N542" s="38" t="s">
        <v>1020</v>
      </c>
    </row>
    <row r="543" spans="1:14">
      <c r="A543" s="335">
        <v>536</v>
      </c>
      <c r="B543" s="39">
        <f t="shared" si="56"/>
        <v>394</v>
      </c>
      <c r="C543" s="39">
        <f t="shared" si="57"/>
        <v>454</v>
      </c>
      <c r="F543" s="25" t="s">
        <v>2272</v>
      </c>
      <c r="G543" s="38">
        <v>1</v>
      </c>
      <c r="H543" s="38">
        <v>43</v>
      </c>
      <c r="I543" s="38">
        <v>2.2999999999999998</v>
      </c>
      <c r="J543" s="38">
        <v>13</v>
      </c>
      <c r="K543" s="38">
        <v>38</v>
      </c>
      <c r="L543" s="38">
        <v>44</v>
      </c>
      <c r="M543" s="22" t="s">
        <v>1021</v>
      </c>
      <c r="N543" s="38" t="s">
        <v>1022</v>
      </c>
    </row>
    <row r="544" spans="1:14">
      <c r="A544" s="335">
        <v>537</v>
      </c>
      <c r="B544" s="39">
        <f t="shared" si="56"/>
        <v>394</v>
      </c>
      <c r="C544" s="39">
        <f t="shared" si="57"/>
        <v>454</v>
      </c>
      <c r="F544" s="25" t="s">
        <v>2273</v>
      </c>
      <c r="G544" s="38">
        <v>1</v>
      </c>
      <c r="H544" s="38">
        <v>46</v>
      </c>
      <c r="I544" s="38">
        <v>9</v>
      </c>
      <c r="J544" s="38">
        <v>61</v>
      </c>
      <c r="K544" s="38">
        <v>14</v>
      </c>
      <c r="L544" s="38">
        <v>0</v>
      </c>
      <c r="M544" s="22" t="s">
        <v>1023</v>
      </c>
      <c r="N544" s="38" t="s">
        <v>991</v>
      </c>
    </row>
    <row r="545" spans="1:14">
      <c r="A545" s="335">
        <v>538</v>
      </c>
      <c r="B545" s="39">
        <f t="shared" si="56"/>
        <v>394</v>
      </c>
      <c r="C545" s="39">
        <f t="shared" si="57"/>
        <v>454</v>
      </c>
      <c r="F545" s="25" t="s">
        <v>2274</v>
      </c>
      <c r="G545" s="38">
        <v>1</v>
      </c>
      <c r="H545" s="38">
        <v>53</v>
      </c>
      <c r="I545" s="38">
        <v>0.5</v>
      </c>
      <c r="J545" s="38">
        <v>-13</v>
      </c>
      <c r="K545" s="38">
        <v>-44</v>
      </c>
      <c r="L545" s="38">
        <v>-19</v>
      </c>
      <c r="M545" s="38" t="s">
        <v>1024</v>
      </c>
      <c r="N545" s="38" t="s">
        <v>1025</v>
      </c>
    </row>
    <row r="546" spans="1:14">
      <c r="A546" s="335">
        <v>539</v>
      </c>
      <c r="B546" s="39">
        <f t="shared" si="56"/>
        <v>394</v>
      </c>
      <c r="C546" s="39">
        <f t="shared" si="57"/>
        <v>454</v>
      </c>
      <c r="F546" s="25" t="s">
        <v>2275</v>
      </c>
      <c r="G546" s="38">
        <v>1</v>
      </c>
      <c r="H546" s="38">
        <v>57</v>
      </c>
      <c r="I546" s="38">
        <v>41</v>
      </c>
      <c r="J546" s="38">
        <v>37</v>
      </c>
      <c r="K546" s="38">
        <v>47</v>
      </c>
      <c r="L546" s="38">
        <v>0</v>
      </c>
      <c r="M546" s="38" t="s">
        <v>1026</v>
      </c>
      <c r="N546" s="38" t="s">
        <v>1027</v>
      </c>
    </row>
    <row r="547" spans="1:14">
      <c r="A547" s="335">
        <v>540</v>
      </c>
      <c r="B547" s="39">
        <f t="shared" si="56"/>
        <v>394</v>
      </c>
      <c r="C547" s="39">
        <f t="shared" si="57"/>
        <v>454</v>
      </c>
      <c r="F547" s="25" t="s">
        <v>2276</v>
      </c>
      <c r="G547" s="38">
        <v>1</v>
      </c>
      <c r="H547" s="38">
        <v>59</v>
      </c>
      <c r="I547" s="38">
        <v>19.600000000000001</v>
      </c>
      <c r="J547" s="38">
        <v>19</v>
      </c>
      <c r="K547" s="38">
        <v>0</v>
      </c>
      <c r="L547" s="38">
        <v>27</v>
      </c>
      <c r="M547" s="38" t="s">
        <v>1028</v>
      </c>
      <c r="N547" s="38" t="s">
        <v>1029</v>
      </c>
    </row>
    <row r="548" spans="1:14">
      <c r="A548" s="335">
        <v>541</v>
      </c>
      <c r="B548" s="39">
        <f t="shared" si="56"/>
        <v>394</v>
      </c>
      <c r="C548" s="39">
        <f t="shared" si="57"/>
        <v>454</v>
      </c>
      <c r="F548" s="25" t="s">
        <v>2277</v>
      </c>
      <c r="G548" s="38">
        <v>2</v>
      </c>
      <c r="H548" s="38">
        <v>6</v>
      </c>
      <c r="I548" s="38">
        <v>51.5</v>
      </c>
      <c r="J548" s="38">
        <v>44</v>
      </c>
      <c r="K548" s="38">
        <v>34</v>
      </c>
      <c r="L548" s="38">
        <v>22</v>
      </c>
      <c r="M548" s="38" t="s">
        <v>1030</v>
      </c>
      <c r="N548" s="38" t="s">
        <v>1031</v>
      </c>
    </row>
    <row r="549" spans="1:14">
      <c r="A549" s="335">
        <v>542</v>
      </c>
      <c r="B549" s="39">
        <f t="shared" si="56"/>
        <v>394</v>
      </c>
      <c r="C549" s="39">
        <f t="shared" si="57"/>
        <v>454</v>
      </c>
      <c r="F549" s="25" t="s">
        <v>2278</v>
      </c>
      <c r="G549" s="38">
        <v>2</v>
      </c>
      <c r="H549" s="38">
        <v>19</v>
      </c>
      <c r="I549" s="38">
        <v>0</v>
      </c>
      <c r="J549" s="38">
        <v>57</v>
      </c>
      <c r="K549" s="38">
        <v>7</v>
      </c>
      <c r="L549" s="38">
        <v>4</v>
      </c>
      <c r="M549" s="22" t="s">
        <v>1032</v>
      </c>
      <c r="N549" s="39" t="s">
        <v>1033</v>
      </c>
    </row>
    <row r="550" spans="1:14">
      <c r="A550" s="335">
        <v>543</v>
      </c>
      <c r="B550" s="39">
        <f t="shared" si="56"/>
        <v>394</v>
      </c>
      <c r="C550" s="39">
        <f t="shared" si="57"/>
        <v>454</v>
      </c>
      <c r="F550" s="25" t="s">
        <v>2279</v>
      </c>
      <c r="G550" s="38">
        <v>2</v>
      </c>
      <c r="H550" s="38">
        <v>22</v>
      </c>
      <c r="I550" s="38">
        <v>23</v>
      </c>
      <c r="J550" s="38">
        <v>57</v>
      </c>
      <c r="K550" s="38">
        <v>7</v>
      </c>
      <c r="L550" s="38">
        <v>3</v>
      </c>
      <c r="M550" s="22" t="s">
        <v>1034</v>
      </c>
      <c r="N550" s="39" t="s">
        <v>1033</v>
      </c>
    </row>
    <row r="551" spans="1:14">
      <c r="A551" s="335">
        <v>544</v>
      </c>
      <c r="B551" s="39">
        <f t="shared" si="56"/>
        <v>394</v>
      </c>
      <c r="C551" s="39">
        <f t="shared" si="57"/>
        <v>454</v>
      </c>
      <c r="F551" s="25" t="s">
        <v>2280</v>
      </c>
      <c r="G551" s="38">
        <v>2</v>
      </c>
      <c r="H551" s="38">
        <v>22</v>
      </c>
      <c r="I551" s="38">
        <v>1</v>
      </c>
      <c r="J551" s="38">
        <v>33</v>
      </c>
      <c r="K551" s="38">
        <v>15</v>
      </c>
      <c r="L551" s="38">
        <v>58</v>
      </c>
      <c r="M551" s="38" t="s">
        <v>1035</v>
      </c>
      <c r="N551" s="43" t="s">
        <v>1036</v>
      </c>
    </row>
    <row r="552" spans="1:14">
      <c r="A552" s="335">
        <v>545</v>
      </c>
      <c r="B552" s="39">
        <f t="shared" si="56"/>
        <v>394</v>
      </c>
      <c r="C552" s="39">
        <f t="shared" si="57"/>
        <v>454</v>
      </c>
      <c r="F552" s="25" t="s">
        <v>2281</v>
      </c>
      <c r="G552" s="38">
        <v>2</v>
      </c>
      <c r="H552" s="38">
        <v>22</v>
      </c>
      <c r="I552" s="38">
        <v>32.9</v>
      </c>
      <c r="J552" s="38">
        <v>42</v>
      </c>
      <c r="K552" s="38">
        <v>20</v>
      </c>
      <c r="L552" s="38">
        <v>54</v>
      </c>
      <c r="M552" s="38" t="s">
        <v>1037</v>
      </c>
      <c r="N552" s="38" t="s">
        <v>1038</v>
      </c>
    </row>
    <row r="553" spans="1:14">
      <c r="A553" s="335">
        <v>546</v>
      </c>
      <c r="B553" s="39">
        <f t="shared" si="56"/>
        <v>394</v>
      </c>
      <c r="C553" s="39">
        <f t="shared" si="57"/>
        <v>454</v>
      </c>
      <c r="F553" s="25" t="s">
        <v>2282</v>
      </c>
      <c r="G553" s="38">
        <v>2</v>
      </c>
      <c r="H553" s="38">
        <v>23</v>
      </c>
      <c r="I553" s="38">
        <v>4.5999999999999996</v>
      </c>
      <c r="J553" s="38">
        <v>-21</v>
      </c>
      <c r="K553" s="38">
        <v>-14</v>
      </c>
      <c r="L553" s="38">
        <v>-2</v>
      </c>
      <c r="M553" s="38" t="s">
        <v>1039</v>
      </c>
      <c r="N553" s="38" t="s">
        <v>1040</v>
      </c>
    </row>
    <row r="554" spans="1:14">
      <c r="A554" s="335">
        <v>547</v>
      </c>
      <c r="B554" s="39">
        <f t="shared" si="56"/>
        <v>394</v>
      </c>
      <c r="C554" s="39">
        <f t="shared" si="57"/>
        <v>454</v>
      </c>
      <c r="F554" s="25" t="s">
        <v>2283</v>
      </c>
      <c r="G554" s="38">
        <v>2</v>
      </c>
      <c r="H554" s="38">
        <v>27</v>
      </c>
      <c r="I554" s="38">
        <v>16.899999999999999</v>
      </c>
      <c r="J554" s="38">
        <v>33</v>
      </c>
      <c r="K554" s="38">
        <v>34</v>
      </c>
      <c r="L554" s="38">
        <v>44</v>
      </c>
      <c r="M554" s="38" t="s">
        <v>1041</v>
      </c>
      <c r="N554" s="38" t="s">
        <v>1042</v>
      </c>
    </row>
    <row r="555" spans="1:14">
      <c r="A555" s="335">
        <v>548</v>
      </c>
      <c r="B555" s="39">
        <f t="shared" si="56"/>
        <v>394</v>
      </c>
      <c r="C555" s="39">
        <f t="shared" si="57"/>
        <v>454</v>
      </c>
      <c r="F555" s="25" t="s">
        <v>2284</v>
      </c>
      <c r="G555" s="38">
        <v>2</v>
      </c>
      <c r="H555" s="38">
        <v>27</v>
      </c>
      <c r="I555" s="38">
        <v>37.5</v>
      </c>
      <c r="J555" s="38">
        <v>-1</v>
      </c>
      <c r="K555" s="38">
        <v>-9</v>
      </c>
      <c r="L555" s="38">
        <v>-23</v>
      </c>
      <c r="M555" s="38" t="s">
        <v>1043</v>
      </c>
      <c r="N555" s="38" t="s">
        <v>1044</v>
      </c>
    </row>
    <row r="556" spans="1:14">
      <c r="A556" s="335">
        <v>549</v>
      </c>
      <c r="B556" s="39">
        <f t="shared" si="56"/>
        <v>394</v>
      </c>
      <c r="C556" s="39">
        <f t="shared" si="57"/>
        <v>454</v>
      </c>
      <c r="F556" s="25" t="s">
        <v>2285</v>
      </c>
      <c r="G556" s="38">
        <v>2</v>
      </c>
      <c r="H556" s="38">
        <v>35</v>
      </c>
      <c r="I556" s="38">
        <v>27.7</v>
      </c>
      <c r="J556" s="38">
        <v>-9</v>
      </c>
      <c r="K556" s="38">
        <v>-21</v>
      </c>
      <c r="L556" s="38">
        <v>-22</v>
      </c>
      <c r="M556" s="38" t="s">
        <v>1045</v>
      </c>
      <c r="N556" s="45" t="s">
        <v>1046</v>
      </c>
    </row>
    <row r="557" spans="1:14">
      <c r="A557" s="335">
        <v>550</v>
      </c>
      <c r="B557" s="39">
        <f t="shared" si="56"/>
        <v>394</v>
      </c>
      <c r="C557" s="39">
        <f t="shared" si="57"/>
        <v>454</v>
      </c>
      <c r="F557" s="25" t="s">
        <v>2286</v>
      </c>
      <c r="G557" s="38">
        <v>2</v>
      </c>
      <c r="H557" s="38">
        <v>40</v>
      </c>
      <c r="I557" s="38">
        <v>24</v>
      </c>
      <c r="J557" s="38">
        <v>39</v>
      </c>
      <c r="K557" s="38">
        <v>3</v>
      </c>
      <c r="L557" s="38">
        <v>48</v>
      </c>
      <c r="M557" s="38" t="s">
        <v>1047</v>
      </c>
      <c r="N557" s="38" t="s">
        <v>1048</v>
      </c>
    </row>
    <row r="558" spans="1:14">
      <c r="A558" s="335">
        <v>551</v>
      </c>
      <c r="B558" s="39">
        <f t="shared" si="56"/>
        <v>394</v>
      </c>
      <c r="C558" s="39">
        <f t="shared" si="57"/>
        <v>454</v>
      </c>
      <c r="F558" s="41" t="s">
        <v>3764</v>
      </c>
      <c r="G558" s="38">
        <v>2</v>
      </c>
      <c r="H558" s="38">
        <v>39</v>
      </c>
      <c r="I558" s="38">
        <v>29.1</v>
      </c>
      <c r="J558" s="38">
        <v>-8</v>
      </c>
      <c r="K558" s="38">
        <v>-8</v>
      </c>
      <c r="L558" s="38">
        <v>-1</v>
      </c>
      <c r="M558" s="38" t="s">
        <v>3765</v>
      </c>
      <c r="N558" s="38"/>
    </row>
    <row r="559" spans="1:14">
      <c r="A559" s="335">
        <v>552</v>
      </c>
      <c r="B559" s="39">
        <f t="shared" si="56"/>
        <v>394</v>
      </c>
      <c r="C559" s="39">
        <f t="shared" si="57"/>
        <v>454</v>
      </c>
      <c r="F559" s="25" t="s">
        <v>2287</v>
      </c>
      <c r="G559" s="38">
        <v>2</v>
      </c>
      <c r="H559" s="38">
        <v>40</v>
      </c>
      <c r="I559" s="38">
        <v>24</v>
      </c>
      <c r="J559" s="38">
        <v>-8</v>
      </c>
      <c r="K559" s="38">
        <v>-26</v>
      </c>
      <c r="L559" s="38">
        <v>-1</v>
      </c>
      <c r="M559" s="38" t="s">
        <v>1049</v>
      </c>
      <c r="N559" s="38" t="s">
        <v>1049</v>
      </c>
    </row>
    <row r="560" spans="1:14">
      <c r="A560" s="335">
        <v>553</v>
      </c>
      <c r="B560" s="39">
        <f t="shared" si="56"/>
        <v>394</v>
      </c>
      <c r="C560" s="39">
        <f t="shared" si="57"/>
        <v>454</v>
      </c>
      <c r="F560" s="25" t="s">
        <v>2288</v>
      </c>
      <c r="G560" s="38">
        <v>2</v>
      </c>
      <c r="H560" s="38">
        <v>41</v>
      </c>
      <c r="I560" s="38">
        <v>4.8</v>
      </c>
      <c r="J560" s="38">
        <v>-8</v>
      </c>
      <c r="K560" s="38">
        <v>-15</v>
      </c>
      <c r="L560" s="38">
        <v>-21</v>
      </c>
      <c r="M560" s="38" t="s">
        <v>1050</v>
      </c>
      <c r="N560" s="38" t="s">
        <v>1050</v>
      </c>
    </row>
    <row r="561" spans="1:14">
      <c r="A561" s="335">
        <v>554</v>
      </c>
      <c r="B561" s="39">
        <f t="shared" si="56"/>
        <v>394</v>
      </c>
      <c r="C561" s="39">
        <f t="shared" si="57"/>
        <v>454</v>
      </c>
      <c r="F561" s="25" t="s">
        <v>2289</v>
      </c>
      <c r="G561" s="38">
        <v>2</v>
      </c>
      <c r="H561" s="38">
        <v>41</v>
      </c>
      <c r="I561" s="38">
        <v>45.2</v>
      </c>
      <c r="J561" s="38">
        <v>0</v>
      </c>
      <c r="K561" s="38">
        <v>26</v>
      </c>
      <c r="L561" s="38">
        <v>35</v>
      </c>
      <c r="M561" s="38" t="s">
        <v>1051</v>
      </c>
      <c r="N561" s="38" t="s">
        <v>1052</v>
      </c>
    </row>
    <row r="562" spans="1:14">
      <c r="A562" s="335">
        <v>555</v>
      </c>
      <c r="B562" s="39">
        <f t="shared" si="56"/>
        <v>394</v>
      </c>
      <c r="C562" s="39">
        <f t="shared" si="57"/>
        <v>454</v>
      </c>
      <c r="F562" s="25" t="s">
        <v>2290</v>
      </c>
      <c r="G562" s="38">
        <v>2</v>
      </c>
      <c r="H562" s="38">
        <v>45</v>
      </c>
      <c r="I562" s="38">
        <v>59.9</v>
      </c>
      <c r="J562" s="38">
        <v>-7</v>
      </c>
      <c r="K562" s="38">
        <v>-34</v>
      </c>
      <c r="L562" s="38">
        <v>-43</v>
      </c>
      <c r="M562" s="38" t="s">
        <v>1053</v>
      </c>
      <c r="N562" s="38" t="s">
        <v>1044</v>
      </c>
    </row>
    <row r="563" spans="1:14">
      <c r="A563" s="335">
        <v>556</v>
      </c>
      <c r="B563" s="39">
        <f t="shared" si="56"/>
        <v>394</v>
      </c>
      <c r="C563" s="39">
        <f t="shared" si="57"/>
        <v>454</v>
      </c>
      <c r="F563" s="25" t="s">
        <v>2291</v>
      </c>
      <c r="G563" s="38">
        <v>2</v>
      </c>
      <c r="H563" s="38">
        <v>46</v>
      </c>
      <c r="I563" s="38">
        <v>25.2</v>
      </c>
      <c r="J563" s="38">
        <v>0</v>
      </c>
      <c r="K563" s="38">
        <v>-29</v>
      </c>
      <c r="L563" s="38">
        <v>-55</v>
      </c>
      <c r="M563" s="38" t="s">
        <v>1054</v>
      </c>
      <c r="N563" s="38" t="s">
        <v>1055</v>
      </c>
    </row>
    <row r="564" spans="1:14">
      <c r="A564" s="335">
        <v>557</v>
      </c>
      <c r="B564" s="39">
        <f t="shared" si="56"/>
        <v>394</v>
      </c>
      <c r="C564" s="39">
        <f t="shared" si="57"/>
        <v>454</v>
      </c>
      <c r="F564" s="25" t="s">
        <v>2292</v>
      </c>
      <c r="G564" s="38">
        <v>2</v>
      </c>
      <c r="H564" s="38">
        <v>46</v>
      </c>
      <c r="I564" s="38">
        <v>33.9</v>
      </c>
      <c r="J564" s="38">
        <v>0</v>
      </c>
      <c r="K564" s="38">
        <v>-14</v>
      </c>
      <c r="L564" s="38">
        <v>-49</v>
      </c>
      <c r="M564" s="38" t="s">
        <v>1056</v>
      </c>
      <c r="N564" s="38" t="s">
        <v>1057</v>
      </c>
    </row>
    <row r="565" spans="1:14">
      <c r="A565" s="335">
        <v>558</v>
      </c>
      <c r="B565" s="39">
        <f t="shared" si="56"/>
        <v>394</v>
      </c>
      <c r="C565" s="39">
        <f t="shared" si="57"/>
        <v>454</v>
      </c>
      <c r="F565" s="25" t="s">
        <v>2293</v>
      </c>
      <c r="G565" s="38">
        <v>3</v>
      </c>
      <c r="H565" s="38">
        <v>9</v>
      </c>
      <c r="I565" s="38">
        <v>45.9</v>
      </c>
      <c r="J565" s="38">
        <v>-20</v>
      </c>
      <c r="K565" s="38">
        <v>-34</v>
      </c>
      <c r="L565" s="38">
        <v>-45</v>
      </c>
      <c r="M565" s="38" t="s">
        <v>1058</v>
      </c>
      <c r="N565" s="38" t="s">
        <v>1059</v>
      </c>
    </row>
    <row r="566" spans="1:14">
      <c r="A566" s="335">
        <v>559</v>
      </c>
      <c r="B566" s="39">
        <f t="shared" si="56"/>
        <v>394</v>
      </c>
      <c r="C566" s="39">
        <f t="shared" si="57"/>
        <v>454</v>
      </c>
      <c r="F566" s="25" t="s">
        <v>2294</v>
      </c>
      <c r="G566" s="38">
        <v>3</v>
      </c>
      <c r="H566" s="38">
        <v>19</v>
      </c>
      <c r="I566" s="38">
        <v>14.2</v>
      </c>
      <c r="J566" s="38">
        <v>-19</v>
      </c>
      <c r="K566" s="38">
        <v>-6</v>
      </c>
      <c r="L566" s="38">
        <v>0</v>
      </c>
      <c r="M566" s="38" t="s">
        <v>1060</v>
      </c>
      <c r="N566" s="22" t="s">
        <v>1061</v>
      </c>
    </row>
    <row r="567" spans="1:14">
      <c r="A567" s="335">
        <v>560</v>
      </c>
      <c r="B567" s="39">
        <f t="shared" si="56"/>
        <v>394</v>
      </c>
      <c r="C567" s="39">
        <f t="shared" si="57"/>
        <v>454</v>
      </c>
      <c r="F567" s="25" t="s">
        <v>2295</v>
      </c>
      <c r="G567" s="38">
        <v>3</v>
      </c>
      <c r="H567" s="38">
        <v>19</v>
      </c>
      <c r="I567" s="38">
        <v>41.1</v>
      </c>
      <c r="J567" s="38">
        <v>-19</v>
      </c>
      <c r="K567" s="38">
        <v>-24</v>
      </c>
      <c r="L567" s="38">
        <v>-41</v>
      </c>
      <c r="M567" s="38" t="s">
        <v>1062</v>
      </c>
      <c r="N567" s="38" t="s">
        <v>1063</v>
      </c>
    </row>
    <row r="568" spans="1:14">
      <c r="A568" s="335">
        <v>561</v>
      </c>
      <c r="B568" s="39">
        <f t="shared" si="56"/>
        <v>394</v>
      </c>
      <c r="C568" s="39">
        <f t="shared" si="57"/>
        <v>454</v>
      </c>
      <c r="F568" s="25" t="s">
        <v>2296</v>
      </c>
      <c r="G568" s="38">
        <v>3</v>
      </c>
      <c r="H568" s="38">
        <v>26</v>
      </c>
      <c r="I568" s="38">
        <v>17.3</v>
      </c>
      <c r="J568" s="38">
        <v>-21</v>
      </c>
      <c r="K568" s="38">
        <v>-20</v>
      </c>
      <c r="L568" s="38">
        <v>-7</v>
      </c>
      <c r="M568" s="38" t="s">
        <v>1064</v>
      </c>
      <c r="N568" s="38" t="s">
        <v>1065</v>
      </c>
    </row>
    <row r="569" spans="1:14">
      <c r="A569" s="335">
        <v>562</v>
      </c>
      <c r="B569" s="39">
        <f t="shared" si="56"/>
        <v>394</v>
      </c>
      <c r="C569" s="39">
        <f t="shared" si="57"/>
        <v>454</v>
      </c>
      <c r="F569" s="41" t="s">
        <v>2297</v>
      </c>
      <c r="G569" s="42">
        <v>3</v>
      </c>
      <c r="H569" s="42">
        <v>39</v>
      </c>
      <c r="I569" s="42">
        <v>30.7</v>
      </c>
      <c r="J569" s="42">
        <v>-18</v>
      </c>
      <c r="K569" s="42">
        <v>-41</v>
      </c>
      <c r="L569" s="42">
        <v>-17</v>
      </c>
      <c r="M569" s="38" t="s">
        <v>1066</v>
      </c>
      <c r="N569" s="22" t="s">
        <v>1067</v>
      </c>
    </row>
    <row r="570" spans="1:14">
      <c r="A570" s="335">
        <v>563</v>
      </c>
      <c r="B570" s="39">
        <f t="shared" si="56"/>
        <v>394</v>
      </c>
      <c r="C570" s="39">
        <f t="shared" si="57"/>
        <v>454</v>
      </c>
      <c r="F570" s="25" t="s">
        <v>2298</v>
      </c>
      <c r="G570" s="38">
        <v>3</v>
      </c>
      <c r="H570" s="38">
        <v>40</v>
      </c>
      <c r="I570" s="38">
        <v>11.9</v>
      </c>
      <c r="J570" s="38">
        <v>-18</v>
      </c>
      <c r="K570" s="38">
        <v>-34</v>
      </c>
      <c r="L570" s="38">
        <v>-49</v>
      </c>
      <c r="M570" s="38" t="s">
        <v>1068</v>
      </c>
      <c r="N570" s="38" t="s">
        <v>1069</v>
      </c>
    </row>
    <row r="571" spans="1:14">
      <c r="A571" s="335">
        <v>564</v>
      </c>
      <c r="B571" s="39">
        <f t="shared" si="56"/>
        <v>394</v>
      </c>
      <c r="C571" s="39">
        <f t="shared" si="57"/>
        <v>454</v>
      </c>
      <c r="F571" s="25" t="s">
        <v>2299</v>
      </c>
      <c r="G571" s="38">
        <v>4</v>
      </c>
      <c r="H571" s="38">
        <v>3</v>
      </c>
      <c r="I571" s="38">
        <v>18</v>
      </c>
      <c r="J571" s="38">
        <v>36</v>
      </c>
      <c r="K571" s="38">
        <v>25</v>
      </c>
      <c r="L571" s="38">
        <v>1</v>
      </c>
      <c r="M571" s="22" t="s">
        <v>1070</v>
      </c>
      <c r="N571" s="38" t="s">
        <v>1071</v>
      </c>
    </row>
    <row r="572" spans="1:14">
      <c r="A572" s="335">
        <v>565</v>
      </c>
      <c r="B572" s="39">
        <f t="shared" si="56"/>
        <v>394</v>
      </c>
      <c r="C572" s="39">
        <f t="shared" si="57"/>
        <v>454</v>
      </c>
      <c r="F572" s="25" t="s">
        <v>2300</v>
      </c>
      <c r="G572" s="38">
        <v>4</v>
      </c>
      <c r="H572" s="38">
        <v>6</v>
      </c>
      <c r="I572" s="38">
        <v>59.4</v>
      </c>
      <c r="J572" s="38">
        <v>60</v>
      </c>
      <c r="K572" s="38">
        <v>55</v>
      </c>
      <c r="L572" s="38">
        <v>14</v>
      </c>
      <c r="M572" s="22" t="s">
        <v>1072</v>
      </c>
      <c r="N572" s="38" t="s">
        <v>1073</v>
      </c>
    </row>
    <row r="573" spans="1:14">
      <c r="A573" s="335">
        <v>566</v>
      </c>
      <c r="B573" s="39">
        <f t="shared" si="56"/>
        <v>394</v>
      </c>
      <c r="C573" s="39">
        <f t="shared" si="57"/>
        <v>454</v>
      </c>
      <c r="F573" s="25" t="s">
        <v>2301</v>
      </c>
      <c r="G573" s="38">
        <v>4</v>
      </c>
      <c r="H573" s="38">
        <v>9</v>
      </c>
      <c r="I573" s="38">
        <v>17</v>
      </c>
      <c r="J573" s="38">
        <v>30</v>
      </c>
      <c r="K573" s="38">
        <v>46</v>
      </c>
      <c r="L573" s="38">
        <v>34</v>
      </c>
      <c r="M573" s="22" t="s">
        <v>1074</v>
      </c>
      <c r="N573" s="38" t="s">
        <v>1073</v>
      </c>
    </row>
    <row r="574" spans="1:14">
      <c r="A574" s="335">
        <v>567</v>
      </c>
      <c r="B574" s="39">
        <f t="shared" si="56"/>
        <v>394</v>
      </c>
      <c r="C574" s="39">
        <f t="shared" si="57"/>
        <v>454</v>
      </c>
      <c r="F574" s="25" t="s">
        <v>2302</v>
      </c>
      <c r="G574" s="38">
        <v>4</v>
      </c>
      <c r="H574" s="38">
        <v>14</v>
      </c>
      <c r="I574" s="38">
        <v>15.8</v>
      </c>
      <c r="J574" s="38">
        <v>-12</v>
      </c>
      <c r="K574" s="38">
        <v>-44</v>
      </c>
      <c r="L574" s="38">
        <v>-22</v>
      </c>
      <c r="M574" s="22" t="s">
        <v>1075</v>
      </c>
      <c r="N574" s="38" t="s">
        <v>1076</v>
      </c>
    </row>
    <row r="575" spans="1:14">
      <c r="A575" s="335">
        <v>568</v>
      </c>
      <c r="B575" s="39">
        <f t="shared" si="56"/>
        <v>394</v>
      </c>
      <c r="C575" s="39">
        <f t="shared" si="57"/>
        <v>454</v>
      </c>
      <c r="F575" s="25" t="s">
        <v>2303</v>
      </c>
      <c r="G575" s="38">
        <v>4</v>
      </c>
      <c r="H575" s="38">
        <v>31</v>
      </c>
      <c r="I575" s="38">
        <v>39.9</v>
      </c>
      <c r="J575" s="38">
        <v>-5</v>
      </c>
      <c r="K575" s="38">
        <v>-5</v>
      </c>
      <c r="L575" s="38">
        <v>-10</v>
      </c>
      <c r="M575" s="38" t="s">
        <v>1077</v>
      </c>
      <c r="N575" s="38" t="s">
        <v>1078</v>
      </c>
    </row>
    <row r="576" spans="1:14">
      <c r="A576" s="335">
        <v>569</v>
      </c>
      <c r="B576" s="39">
        <f t="shared" si="56"/>
        <v>394</v>
      </c>
      <c r="C576" s="39">
        <f t="shared" si="57"/>
        <v>454</v>
      </c>
      <c r="F576" s="25" t="s">
        <v>2304</v>
      </c>
      <c r="G576" s="38">
        <v>4</v>
      </c>
      <c r="H576" s="38">
        <v>41</v>
      </c>
      <c r="I576" s="38">
        <v>28.2</v>
      </c>
      <c r="J576" s="38">
        <v>-2</v>
      </c>
      <c r="K576" s="38">
        <v>-51</v>
      </c>
      <c r="L576" s="38">
        <v>-29</v>
      </c>
      <c r="M576" s="38" t="s">
        <v>1079</v>
      </c>
      <c r="N576" s="38" t="s">
        <v>1080</v>
      </c>
    </row>
    <row r="577" spans="1:14">
      <c r="A577" s="335">
        <v>570</v>
      </c>
      <c r="B577" s="39">
        <f t="shared" si="56"/>
        <v>394</v>
      </c>
      <c r="C577" s="39">
        <f t="shared" si="57"/>
        <v>454</v>
      </c>
      <c r="F577" s="25" t="s">
        <v>2305</v>
      </c>
      <c r="G577" s="38">
        <v>4</v>
      </c>
      <c r="H577" s="38">
        <v>45</v>
      </c>
      <c r="I577" s="38">
        <v>55</v>
      </c>
      <c r="J577" s="38">
        <v>19</v>
      </c>
      <c r="K577" s="38">
        <v>6</v>
      </c>
      <c r="L577" s="38">
        <v>5</v>
      </c>
      <c r="M577" s="22" t="s">
        <v>1081</v>
      </c>
      <c r="N577" s="38" t="s">
        <v>1073</v>
      </c>
    </row>
    <row r="578" spans="1:14">
      <c r="A578" s="335">
        <v>571</v>
      </c>
      <c r="B578" s="39">
        <f t="shared" si="56"/>
        <v>394</v>
      </c>
      <c r="C578" s="39">
        <f t="shared" si="57"/>
        <v>454</v>
      </c>
      <c r="F578" s="25" t="s">
        <v>2306</v>
      </c>
      <c r="G578" s="38">
        <v>4</v>
      </c>
      <c r="H578" s="38">
        <v>48</v>
      </c>
      <c r="I578" s="38">
        <v>27</v>
      </c>
      <c r="J578" s="38">
        <v>10</v>
      </c>
      <c r="K578" s="38">
        <v>56</v>
      </c>
      <c r="L578" s="38">
        <v>1</v>
      </c>
      <c r="M578" s="22" t="s">
        <v>1082</v>
      </c>
      <c r="N578" s="38" t="s">
        <v>1073</v>
      </c>
    </row>
    <row r="579" spans="1:14">
      <c r="A579" s="335">
        <v>572</v>
      </c>
      <c r="B579" s="39">
        <f t="shared" si="56"/>
        <v>394</v>
      </c>
      <c r="C579" s="39">
        <f t="shared" si="57"/>
        <v>454</v>
      </c>
      <c r="F579" s="25" t="s">
        <v>2307</v>
      </c>
      <c r="G579" s="38">
        <v>5</v>
      </c>
      <c r="H579" s="38">
        <v>20</v>
      </c>
      <c r="I579" s="38">
        <v>3</v>
      </c>
      <c r="J579" s="38">
        <v>39</v>
      </c>
      <c r="K579" s="38">
        <v>17</v>
      </c>
      <c r="L579" s="38">
        <v>2</v>
      </c>
      <c r="M579" s="22" t="s">
        <v>1083</v>
      </c>
      <c r="N579" s="38" t="s">
        <v>1073</v>
      </c>
    </row>
    <row r="580" spans="1:14">
      <c r="A580" s="335">
        <v>573</v>
      </c>
      <c r="B580" s="39">
        <f t="shared" si="56"/>
        <v>394</v>
      </c>
      <c r="C580" s="39">
        <f t="shared" si="57"/>
        <v>454</v>
      </c>
      <c r="F580" s="25" t="s">
        <v>2308</v>
      </c>
      <c r="G580" s="38">
        <v>5</v>
      </c>
      <c r="H580" s="38">
        <v>28</v>
      </c>
      <c r="I580" s="38">
        <v>5</v>
      </c>
      <c r="J580" s="38">
        <v>35</v>
      </c>
      <c r="K580" s="38">
        <v>19</v>
      </c>
      <c r="L580" s="38">
        <v>3</v>
      </c>
      <c r="M580" s="22" t="s">
        <v>1084</v>
      </c>
      <c r="N580" s="38" t="s">
        <v>1085</v>
      </c>
    </row>
    <row r="581" spans="1:14">
      <c r="A581" s="335">
        <v>574</v>
      </c>
      <c r="B581" s="39">
        <f t="shared" si="56"/>
        <v>394</v>
      </c>
      <c r="C581" s="39">
        <f t="shared" si="57"/>
        <v>454</v>
      </c>
      <c r="F581" s="25" t="s">
        <v>2309</v>
      </c>
      <c r="G581" s="38">
        <v>5</v>
      </c>
      <c r="H581" s="38">
        <v>33</v>
      </c>
      <c r="I581" s="38">
        <v>21.8</v>
      </c>
      <c r="J581" s="38">
        <v>-21</v>
      </c>
      <c r="K581" s="38">
        <v>-56</v>
      </c>
      <c r="L581" s="38">
        <v>-45</v>
      </c>
      <c r="M581" s="38" t="s">
        <v>1086</v>
      </c>
      <c r="N581" s="38" t="s">
        <v>1087</v>
      </c>
    </row>
    <row r="582" spans="1:14">
      <c r="A582" s="335">
        <v>575</v>
      </c>
      <c r="B582" s="39">
        <f t="shared" ref="B582:B645" si="58">IF(B581=F582,A582,B581)</f>
        <v>394</v>
      </c>
      <c r="C582" s="39">
        <f t="shared" ref="C582:C645" si="59" xml:space="preserve"> IF(C581=F582,A582,C581)</f>
        <v>454</v>
      </c>
      <c r="F582" s="25" t="s">
        <v>2310</v>
      </c>
      <c r="G582" s="38">
        <v>5</v>
      </c>
      <c r="H582" s="38">
        <v>42</v>
      </c>
      <c r="I582" s="38">
        <v>6.2</v>
      </c>
      <c r="J582" s="38">
        <v>9</v>
      </c>
      <c r="K582" s="38">
        <v>5</v>
      </c>
      <c r="L582" s="38">
        <v>10</v>
      </c>
      <c r="M582" s="22" t="s">
        <v>1088</v>
      </c>
      <c r="N582" s="38" t="s">
        <v>1073</v>
      </c>
    </row>
    <row r="583" spans="1:14">
      <c r="A583" s="335">
        <v>576</v>
      </c>
      <c r="B583" s="39">
        <f t="shared" si="58"/>
        <v>394</v>
      </c>
      <c r="C583" s="39">
        <f t="shared" si="59"/>
        <v>454</v>
      </c>
      <c r="F583" s="41" t="s">
        <v>3771</v>
      </c>
      <c r="G583" s="38">
        <v>5</v>
      </c>
      <c r="H583" s="38">
        <v>41</v>
      </c>
      <c r="I583" s="38">
        <v>37.9</v>
      </c>
      <c r="J583" s="38">
        <v>-2</v>
      </c>
      <c r="K583" s="38">
        <v>-15</v>
      </c>
      <c r="L583" s="38">
        <v>-52</v>
      </c>
      <c r="M583" s="22" t="s">
        <v>3772</v>
      </c>
      <c r="N583" s="43" t="s">
        <v>3773</v>
      </c>
    </row>
    <row r="584" spans="1:14">
      <c r="A584" s="335">
        <v>577</v>
      </c>
      <c r="B584" s="39">
        <f t="shared" si="58"/>
        <v>394</v>
      </c>
      <c r="C584" s="39">
        <f t="shared" si="59"/>
        <v>454</v>
      </c>
      <c r="F584" s="41" t="s">
        <v>3774</v>
      </c>
      <c r="G584" s="38">
        <v>5</v>
      </c>
      <c r="H584" s="38">
        <v>41</v>
      </c>
      <c r="I584" s="38">
        <v>43</v>
      </c>
      <c r="J584" s="38">
        <v>-1</v>
      </c>
      <c r="K584" s="38">
        <v>-50</v>
      </c>
      <c r="L584" s="38">
        <v>-30</v>
      </c>
      <c r="M584" s="22" t="s">
        <v>3776</v>
      </c>
      <c r="N584" s="43" t="s">
        <v>3775</v>
      </c>
    </row>
    <row r="585" spans="1:14">
      <c r="A585" s="335">
        <v>578</v>
      </c>
      <c r="B585" s="39">
        <f t="shared" si="58"/>
        <v>394</v>
      </c>
      <c r="C585" s="39">
        <f t="shared" si="59"/>
        <v>454</v>
      </c>
      <c r="F585" s="25" t="s">
        <v>2311</v>
      </c>
      <c r="G585" s="38">
        <v>5</v>
      </c>
      <c r="H585" s="38">
        <v>47</v>
      </c>
      <c r="I585" s="38">
        <v>9</v>
      </c>
      <c r="J585" s="38">
        <v>0</v>
      </c>
      <c r="K585" s="38">
        <v>18</v>
      </c>
      <c r="L585" s="38">
        <v>0</v>
      </c>
      <c r="M585" s="22" t="s">
        <v>1089</v>
      </c>
      <c r="N585" s="38" t="s">
        <v>991</v>
      </c>
    </row>
    <row r="586" spans="1:14">
      <c r="A586" s="335">
        <v>579</v>
      </c>
      <c r="B586" s="39">
        <f t="shared" si="58"/>
        <v>394</v>
      </c>
      <c r="C586" s="39">
        <f t="shared" si="59"/>
        <v>454</v>
      </c>
      <c r="F586" s="25" t="s">
        <v>2312</v>
      </c>
      <c r="G586" s="38">
        <v>6</v>
      </c>
      <c r="H586" s="38">
        <v>12</v>
      </c>
      <c r="I586" s="38">
        <v>9.6</v>
      </c>
      <c r="J586" s="38">
        <v>-21</v>
      </c>
      <c r="K586" s="38">
        <v>-48</v>
      </c>
      <c r="L586" s="38">
        <v>-21</v>
      </c>
      <c r="M586" s="38" t="s">
        <v>1090</v>
      </c>
      <c r="N586" s="38" t="s">
        <v>1017</v>
      </c>
    </row>
    <row r="587" spans="1:14">
      <c r="A587" s="335">
        <v>580</v>
      </c>
      <c r="B587" s="39">
        <f t="shared" si="58"/>
        <v>394</v>
      </c>
      <c r="C587" s="39">
        <f t="shared" si="59"/>
        <v>454</v>
      </c>
      <c r="F587" s="25" t="s">
        <v>2313</v>
      </c>
      <c r="G587" s="38">
        <v>6</v>
      </c>
      <c r="H587" s="38">
        <v>27</v>
      </c>
      <c r="I587" s="38">
        <v>15</v>
      </c>
      <c r="J587" s="38">
        <v>-4</v>
      </c>
      <c r="K587" s="38">
        <v>-45</v>
      </c>
      <c r="L587" s="38">
        <v>-3</v>
      </c>
      <c r="M587" s="22" t="s">
        <v>1091</v>
      </c>
      <c r="N587" s="38" t="s">
        <v>1092</v>
      </c>
    </row>
    <row r="588" spans="1:14">
      <c r="A588" s="335">
        <v>581</v>
      </c>
      <c r="B588" s="39">
        <f t="shared" si="58"/>
        <v>394</v>
      </c>
      <c r="C588" s="39">
        <f t="shared" si="59"/>
        <v>454</v>
      </c>
      <c r="F588" s="25" t="s">
        <v>2314</v>
      </c>
      <c r="G588" s="38">
        <v>6</v>
      </c>
      <c r="H588" s="38">
        <v>31</v>
      </c>
      <c r="I588" s="38">
        <v>55</v>
      </c>
      <c r="J588" s="38">
        <v>4</v>
      </c>
      <c r="K588" s="38">
        <v>56</v>
      </c>
      <c r="L588" s="38">
        <v>3</v>
      </c>
      <c r="M588" s="22" t="s">
        <v>1093</v>
      </c>
      <c r="N588" s="38" t="s">
        <v>1094</v>
      </c>
    </row>
    <row r="589" spans="1:14">
      <c r="A589" s="335">
        <v>582</v>
      </c>
      <c r="B589" s="39">
        <f t="shared" si="58"/>
        <v>394</v>
      </c>
      <c r="C589" s="39">
        <f t="shared" si="59"/>
        <v>454</v>
      </c>
      <c r="F589" s="25" t="s">
        <v>2315</v>
      </c>
      <c r="G589" s="38">
        <v>6</v>
      </c>
      <c r="H589" s="38">
        <v>40</v>
      </c>
      <c r="I589" s="38">
        <v>58</v>
      </c>
      <c r="J589" s="38">
        <v>9</v>
      </c>
      <c r="K589" s="38">
        <v>53</v>
      </c>
      <c r="L589" s="38">
        <v>4</v>
      </c>
      <c r="M589" s="22" t="s">
        <v>1095</v>
      </c>
      <c r="N589" s="38" t="s">
        <v>1096</v>
      </c>
    </row>
    <row r="590" spans="1:14">
      <c r="A590" s="335">
        <v>583</v>
      </c>
      <c r="B590" s="39">
        <f t="shared" si="58"/>
        <v>394</v>
      </c>
      <c r="C590" s="39">
        <f t="shared" si="59"/>
        <v>454</v>
      </c>
      <c r="F590" s="25" t="s">
        <v>2316</v>
      </c>
      <c r="G590" s="38">
        <v>7</v>
      </c>
      <c r="H590" s="38">
        <v>27</v>
      </c>
      <c r="I590" s="38">
        <v>14.5</v>
      </c>
      <c r="J590" s="38">
        <v>85</v>
      </c>
      <c r="K590" s="38">
        <v>45</v>
      </c>
      <c r="L590" s="38">
        <v>16</v>
      </c>
      <c r="M590" s="22" t="s">
        <v>1097</v>
      </c>
      <c r="N590" s="39" t="s">
        <v>1098</v>
      </c>
    </row>
    <row r="591" spans="1:14">
      <c r="A591" s="335">
        <v>584</v>
      </c>
      <c r="B591" s="39">
        <f t="shared" si="58"/>
        <v>394</v>
      </c>
      <c r="C591" s="39">
        <f t="shared" si="59"/>
        <v>454</v>
      </c>
      <c r="F591" s="25" t="s">
        <v>2317</v>
      </c>
      <c r="G591" s="38">
        <v>7</v>
      </c>
      <c r="H591" s="38">
        <v>32</v>
      </c>
      <c r="I591" s="38">
        <v>20.5</v>
      </c>
      <c r="J591" s="38">
        <v>85</v>
      </c>
      <c r="K591" s="38">
        <v>42</v>
      </c>
      <c r="L591" s="38">
        <v>32</v>
      </c>
      <c r="M591" s="22" t="s">
        <v>1099</v>
      </c>
      <c r="N591" s="22" t="s">
        <v>1100</v>
      </c>
    </row>
    <row r="592" spans="1:14">
      <c r="A592" s="335">
        <v>585</v>
      </c>
      <c r="B592" s="39">
        <f t="shared" si="58"/>
        <v>394</v>
      </c>
      <c r="C592" s="39">
        <f t="shared" si="59"/>
        <v>454</v>
      </c>
      <c r="F592" s="25" t="s">
        <v>2318</v>
      </c>
      <c r="G592" s="38">
        <v>7</v>
      </c>
      <c r="H592" s="38">
        <v>27</v>
      </c>
      <c r="I592" s="38">
        <v>4</v>
      </c>
      <c r="J592" s="38">
        <v>80</v>
      </c>
      <c r="K592" s="38">
        <v>10</v>
      </c>
      <c r="L592" s="38">
        <v>41</v>
      </c>
      <c r="M592" s="22" t="s">
        <v>1101</v>
      </c>
      <c r="N592" s="39" t="s">
        <v>1102</v>
      </c>
    </row>
    <row r="593" spans="1:14">
      <c r="A593" s="335">
        <v>586</v>
      </c>
      <c r="B593" s="39">
        <f t="shared" si="58"/>
        <v>394</v>
      </c>
      <c r="C593" s="39">
        <f t="shared" si="59"/>
        <v>454</v>
      </c>
      <c r="F593" s="25" t="s">
        <v>2319</v>
      </c>
      <c r="G593" s="38">
        <v>7</v>
      </c>
      <c r="H593" s="38">
        <v>25</v>
      </c>
      <c r="I593" s="38">
        <v>34.700000000000003</v>
      </c>
      <c r="J593" s="38">
        <v>29</v>
      </c>
      <c r="K593" s="38">
        <v>29</v>
      </c>
      <c r="L593" s="38">
        <v>26</v>
      </c>
      <c r="M593" s="22" t="s">
        <v>1103</v>
      </c>
      <c r="N593" s="38" t="s">
        <v>991</v>
      </c>
    </row>
    <row r="594" spans="1:14">
      <c r="A594" s="335">
        <v>587</v>
      </c>
      <c r="B594" s="39">
        <f t="shared" si="58"/>
        <v>394</v>
      </c>
      <c r="C594" s="39">
        <f t="shared" si="59"/>
        <v>454</v>
      </c>
      <c r="F594" s="25" t="s">
        <v>2320</v>
      </c>
      <c r="G594" s="38">
        <v>7</v>
      </c>
      <c r="H594" s="38">
        <v>29</v>
      </c>
      <c r="I594" s="38">
        <v>10.8</v>
      </c>
      <c r="J594" s="38">
        <v>20</v>
      </c>
      <c r="K594" s="38">
        <v>54</v>
      </c>
      <c r="L594" s="38">
        <v>42</v>
      </c>
      <c r="M594" s="22" t="s">
        <v>1104</v>
      </c>
      <c r="N594" s="22" t="s">
        <v>1105</v>
      </c>
    </row>
    <row r="595" spans="1:14">
      <c r="A595" s="335">
        <v>588</v>
      </c>
      <c r="B595" s="39">
        <f t="shared" si="58"/>
        <v>394</v>
      </c>
      <c r="C595" s="39">
        <f t="shared" si="59"/>
        <v>454</v>
      </c>
      <c r="F595" s="25" t="s">
        <v>2321</v>
      </c>
      <c r="G595" s="38">
        <v>7</v>
      </c>
      <c r="H595" s="38">
        <v>36</v>
      </c>
      <c r="I595" s="38">
        <v>51.4</v>
      </c>
      <c r="J595" s="38">
        <v>65</v>
      </c>
      <c r="K595" s="38">
        <v>36</v>
      </c>
      <c r="L595" s="38">
        <v>9</v>
      </c>
      <c r="M595" s="22" t="s">
        <v>1106</v>
      </c>
      <c r="N595" s="22" t="s">
        <v>1107</v>
      </c>
    </row>
    <row r="596" spans="1:14">
      <c r="A596" s="335">
        <v>589</v>
      </c>
      <c r="B596" s="39">
        <f t="shared" si="58"/>
        <v>394</v>
      </c>
      <c r="C596" s="39">
        <f t="shared" si="59"/>
        <v>454</v>
      </c>
      <c r="F596" s="25" t="s">
        <v>2322</v>
      </c>
      <c r="G596" s="38">
        <v>7</v>
      </c>
      <c r="H596" s="38">
        <v>41</v>
      </c>
      <c r="I596" s="38">
        <v>50.5</v>
      </c>
      <c r="J596" s="38">
        <v>-14</v>
      </c>
      <c r="K596" s="38">
        <v>-44</v>
      </c>
      <c r="L596" s="38">
        <v>-8</v>
      </c>
      <c r="M596" s="22" t="s">
        <v>1108</v>
      </c>
      <c r="N596" s="38" t="s">
        <v>991</v>
      </c>
    </row>
    <row r="597" spans="1:14">
      <c r="A597" s="335">
        <v>590</v>
      </c>
      <c r="B597" s="39">
        <f t="shared" si="58"/>
        <v>394</v>
      </c>
      <c r="C597" s="39">
        <f t="shared" si="59"/>
        <v>454</v>
      </c>
      <c r="F597" s="25" t="s">
        <v>2323</v>
      </c>
      <c r="G597" s="38">
        <v>8</v>
      </c>
      <c r="H597" s="38">
        <v>33</v>
      </c>
      <c r="I597" s="38">
        <v>22.8</v>
      </c>
      <c r="J597" s="38">
        <v>-22</v>
      </c>
      <c r="K597" s="38">
        <v>-58</v>
      </c>
      <c r="L597" s="38">
        <v>-25</v>
      </c>
      <c r="M597" s="38" t="s">
        <v>1109</v>
      </c>
      <c r="N597" s="38" t="s">
        <v>1025</v>
      </c>
    </row>
    <row r="598" spans="1:14">
      <c r="A598" s="335">
        <v>591</v>
      </c>
      <c r="B598" s="39">
        <f t="shared" si="58"/>
        <v>394</v>
      </c>
      <c r="C598" s="39">
        <f t="shared" si="59"/>
        <v>454</v>
      </c>
      <c r="F598" s="25" t="s">
        <v>2324</v>
      </c>
      <c r="G598" s="38">
        <v>8</v>
      </c>
      <c r="H598" s="38">
        <v>52</v>
      </c>
      <c r="I598" s="38">
        <v>41.3</v>
      </c>
      <c r="J598" s="38">
        <v>33</v>
      </c>
      <c r="K598" s="38">
        <v>25</v>
      </c>
      <c r="L598" s="38">
        <v>18</v>
      </c>
      <c r="M598" s="22" t="s">
        <v>1110</v>
      </c>
      <c r="N598" s="38" t="s">
        <v>1111</v>
      </c>
    </row>
    <row r="599" spans="1:14">
      <c r="A599" s="335">
        <v>592</v>
      </c>
      <c r="B599" s="39">
        <f t="shared" si="58"/>
        <v>394</v>
      </c>
      <c r="C599" s="39">
        <f t="shared" si="59"/>
        <v>454</v>
      </c>
      <c r="F599" s="25" t="s">
        <v>2325</v>
      </c>
      <c r="G599" s="38">
        <v>9</v>
      </c>
      <c r="H599" s="38">
        <v>11</v>
      </c>
      <c r="I599" s="38">
        <v>37.5</v>
      </c>
      <c r="J599" s="38">
        <v>60</v>
      </c>
      <c r="K599" s="38">
        <v>2</v>
      </c>
      <c r="L599" s="38">
        <v>14</v>
      </c>
      <c r="M599" s="22" t="s">
        <v>1112</v>
      </c>
      <c r="N599" s="22" t="s">
        <v>1113</v>
      </c>
    </row>
    <row r="600" spans="1:14">
      <c r="A600" s="335">
        <v>593</v>
      </c>
      <c r="B600" s="39">
        <f t="shared" si="58"/>
        <v>394</v>
      </c>
      <c r="C600" s="39">
        <f t="shared" si="59"/>
        <v>454</v>
      </c>
      <c r="F600" s="25" t="s">
        <v>2326</v>
      </c>
      <c r="G600" s="38">
        <v>9</v>
      </c>
      <c r="H600" s="38">
        <v>22</v>
      </c>
      <c r="I600" s="38">
        <v>2.7</v>
      </c>
      <c r="J600" s="38">
        <v>50</v>
      </c>
      <c r="K600" s="38">
        <v>58</v>
      </c>
      <c r="L600" s="38">
        <v>35</v>
      </c>
      <c r="M600" s="22" t="s">
        <v>1114</v>
      </c>
      <c r="N600" s="22" t="s">
        <v>1115</v>
      </c>
    </row>
    <row r="601" spans="1:14">
      <c r="A601" s="335">
        <v>594</v>
      </c>
      <c r="B601" s="39">
        <f t="shared" si="58"/>
        <v>394</v>
      </c>
      <c r="C601" s="39">
        <f t="shared" si="59"/>
        <v>454</v>
      </c>
      <c r="F601" s="25" t="s">
        <v>2327</v>
      </c>
      <c r="G601" s="38">
        <v>9</v>
      </c>
      <c r="H601" s="38">
        <v>32</v>
      </c>
      <c r="I601" s="38">
        <v>10.1</v>
      </c>
      <c r="J601" s="38">
        <v>21</v>
      </c>
      <c r="K601" s="38">
        <v>30</v>
      </c>
      <c r="L601" s="38">
        <v>3</v>
      </c>
      <c r="M601" s="22" t="s">
        <v>1116</v>
      </c>
      <c r="N601" s="38" t="s">
        <v>1117</v>
      </c>
    </row>
    <row r="602" spans="1:14">
      <c r="A602" s="335">
        <v>595</v>
      </c>
      <c r="B602" s="39">
        <f t="shared" si="58"/>
        <v>394</v>
      </c>
      <c r="C602" s="39">
        <f t="shared" si="59"/>
        <v>454</v>
      </c>
      <c r="F602" s="25" t="s">
        <v>2328</v>
      </c>
      <c r="G602" s="38">
        <v>9</v>
      </c>
      <c r="H602" s="38">
        <v>47</v>
      </c>
      <c r="I602" s="38">
        <v>15.5</v>
      </c>
      <c r="J602" s="38">
        <v>67</v>
      </c>
      <c r="K602" s="38">
        <v>54</v>
      </c>
      <c r="L602" s="38">
        <v>59</v>
      </c>
      <c r="M602" s="22" t="s">
        <v>1118</v>
      </c>
      <c r="N602" s="22" t="s">
        <v>1014</v>
      </c>
    </row>
    <row r="603" spans="1:14">
      <c r="A603" s="335">
        <v>596</v>
      </c>
      <c r="B603" s="39">
        <f t="shared" si="58"/>
        <v>394</v>
      </c>
      <c r="C603" s="39">
        <f t="shared" si="59"/>
        <v>454</v>
      </c>
      <c r="F603" s="25" t="s">
        <v>2329</v>
      </c>
      <c r="G603" s="38">
        <v>9</v>
      </c>
      <c r="H603" s="38">
        <v>45</v>
      </c>
      <c r="I603" s="38">
        <v>38.799999999999997</v>
      </c>
      <c r="J603" s="38">
        <v>-31</v>
      </c>
      <c r="K603" s="38">
        <v>-11</v>
      </c>
      <c r="L603" s="38">
        <v>-28</v>
      </c>
      <c r="M603" s="22" t="s">
        <v>1119</v>
      </c>
      <c r="N603" s="22" t="s">
        <v>1120</v>
      </c>
    </row>
    <row r="604" spans="1:14">
      <c r="A604" s="335">
        <v>597</v>
      </c>
      <c r="B604" s="39">
        <f t="shared" si="58"/>
        <v>394</v>
      </c>
      <c r="C604" s="39">
        <f t="shared" si="59"/>
        <v>454</v>
      </c>
      <c r="F604" s="25" t="s">
        <v>2330</v>
      </c>
      <c r="G604" s="22">
        <v>10</v>
      </c>
      <c r="H604" s="22">
        <v>3</v>
      </c>
      <c r="I604" s="22">
        <v>19.100000000000001</v>
      </c>
      <c r="J604" s="22">
        <v>68</v>
      </c>
      <c r="K604" s="22">
        <v>44</v>
      </c>
      <c r="L604" s="22">
        <v>2</v>
      </c>
      <c r="M604" s="22" t="s">
        <v>1121</v>
      </c>
      <c r="N604" s="22" t="s">
        <v>1122</v>
      </c>
    </row>
    <row r="605" spans="1:14">
      <c r="A605" s="335">
        <v>598</v>
      </c>
      <c r="B605" s="39">
        <f t="shared" si="58"/>
        <v>394</v>
      </c>
      <c r="C605" s="39">
        <f t="shared" si="59"/>
        <v>454</v>
      </c>
      <c r="F605" s="25" t="s">
        <v>2331</v>
      </c>
      <c r="G605" s="22">
        <v>10</v>
      </c>
      <c r="H605" s="22">
        <v>3</v>
      </c>
      <c r="I605" s="22">
        <v>6.9</v>
      </c>
      <c r="J605" s="22">
        <v>-26</v>
      </c>
      <c r="K605" s="22">
        <v>-9</v>
      </c>
      <c r="L605" s="22">
        <v>-34</v>
      </c>
      <c r="M605" s="22" t="s">
        <v>1123</v>
      </c>
      <c r="N605" s="22" t="s">
        <v>1124</v>
      </c>
    </row>
    <row r="606" spans="1:14">
      <c r="A606" s="335">
        <v>599</v>
      </c>
      <c r="B606" s="39">
        <f t="shared" si="58"/>
        <v>394</v>
      </c>
      <c r="C606" s="39">
        <f t="shared" si="59"/>
        <v>454</v>
      </c>
      <c r="F606" s="25" t="s">
        <v>2332</v>
      </c>
      <c r="G606" s="22">
        <v>10</v>
      </c>
      <c r="H606" s="22">
        <v>5</v>
      </c>
      <c r="I606" s="22">
        <v>14</v>
      </c>
      <c r="J606" s="22">
        <v>-7</v>
      </c>
      <c r="K606" s="22">
        <v>-43</v>
      </c>
      <c r="L606" s="22">
        <v>-7</v>
      </c>
      <c r="M606" s="22" t="s">
        <v>1125</v>
      </c>
      <c r="N606" s="38" t="s">
        <v>1126</v>
      </c>
    </row>
    <row r="607" spans="1:14">
      <c r="A607" s="335">
        <v>600</v>
      </c>
      <c r="B607" s="39">
        <f t="shared" si="58"/>
        <v>394</v>
      </c>
      <c r="C607" s="39">
        <f t="shared" si="59"/>
        <v>454</v>
      </c>
      <c r="F607" s="25" t="s">
        <v>2333</v>
      </c>
      <c r="G607" s="22">
        <v>10</v>
      </c>
      <c r="H607" s="22">
        <v>13</v>
      </c>
      <c r="I607" s="22">
        <v>45.7</v>
      </c>
      <c r="J607" s="22">
        <v>3</v>
      </c>
      <c r="K607" s="22">
        <v>25</v>
      </c>
      <c r="L607" s="22">
        <v>29</v>
      </c>
      <c r="M607" s="38" t="s">
        <v>1127</v>
      </c>
      <c r="N607" s="38" t="s">
        <v>1128</v>
      </c>
    </row>
    <row r="608" spans="1:14">
      <c r="A608" s="335">
        <v>601</v>
      </c>
      <c r="B608" s="39">
        <f t="shared" si="58"/>
        <v>394</v>
      </c>
      <c r="C608" s="39">
        <f t="shared" si="59"/>
        <v>454</v>
      </c>
      <c r="F608" s="25" t="s">
        <v>2334</v>
      </c>
      <c r="G608" s="22">
        <v>10</v>
      </c>
      <c r="H608" s="22">
        <v>14</v>
      </c>
      <c r="I608" s="22">
        <v>15.1</v>
      </c>
      <c r="J608" s="22">
        <v>3</v>
      </c>
      <c r="K608" s="22">
        <v>7</v>
      </c>
      <c r="L608" s="22">
        <v>58</v>
      </c>
      <c r="M608" s="38" t="s">
        <v>1129</v>
      </c>
      <c r="N608" s="38" t="s">
        <v>1128</v>
      </c>
    </row>
    <row r="609" spans="1:14">
      <c r="A609" s="335">
        <v>602</v>
      </c>
      <c r="B609" s="39">
        <f t="shared" si="58"/>
        <v>394</v>
      </c>
      <c r="C609" s="39">
        <f t="shared" si="59"/>
        <v>454</v>
      </c>
      <c r="F609" s="25" t="s">
        <v>2335</v>
      </c>
      <c r="G609" s="22">
        <v>10</v>
      </c>
      <c r="H609" s="22">
        <v>18</v>
      </c>
      <c r="I609" s="22">
        <v>17</v>
      </c>
      <c r="J609" s="22">
        <v>41</v>
      </c>
      <c r="K609" s="22">
        <v>25</v>
      </c>
      <c r="L609" s="22">
        <v>28</v>
      </c>
      <c r="M609" s="22" t="s">
        <v>1130</v>
      </c>
      <c r="N609" s="22" t="s">
        <v>1131</v>
      </c>
    </row>
    <row r="610" spans="1:14">
      <c r="A610" s="335">
        <v>603</v>
      </c>
      <c r="B610" s="39">
        <f t="shared" si="58"/>
        <v>394</v>
      </c>
      <c r="C610" s="39">
        <f t="shared" si="59"/>
        <v>454</v>
      </c>
      <c r="F610" s="25" t="s">
        <v>2336</v>
      </c>
      <c r="G610" s="22">
        <v>10</v>
      </c>
      <c r="H610" s="22">
        <v>17</v>
      </c>
      <c r="I610" s="22">
        <v>38.6</v>
      </c>
      <c r="J610" s="22">
        <v>21</v>
      </c>
      <c r="K610" s="22">
        <v>41</v>
      </c>
      <c r="L610" s="22">
        <v>18</v>
      </c>
      <c r="M610" s="22" t="s">
        <v>1132</v>
      </c>
      <c r="N610" s="39" t="s">
        <v>1133</v>
      </c>
    </row>
    <row r="611" spans="1:14">
      <c r="A611" s="335">
        <v>604</v>
      </c>
      <c r="B611" s="39">
        <f t="shared" si="58"/>
        <v>394</v>
      </c>
      <c r="C611" s="39">
        <f t="shared" si="59"/>
        <v>454</v>
      </c>
      <c r="F611" s="25" t="s">
        <v>2337</v>
      </c>
      <c r="G611" s="22">
        <v>10</v>
      </c>
      <c r="H611" s="22">
        <v>18</v>
      </c>
      <c r="I611" s="22">
        <v>5.6</v>
      </c>
      <c r="J611" s="22">
        <v>21</v>
      </c>
      <c r="K611" s="22">
        <v>49</v>
      </c>
      <c r="L611" s="22">
        <v>55</v>
      </c>
      <c r="M611" s="38" t="s">
        <v>1134</v>
      </c>
      <c r="N611" s="38" t="s">
        <v>1135</v>
      </c>
    </row>
    <row r="612" spans="1:14">
      <c r="A612" s="335">
        <v>605</v>
      </c>
      <c r="B612" s="39">
        <f t="shared" si="58"/>
        <v>394</v>
      </c>
      <c r="C612" s="39">
        <f t="shared" si="59"/>
        <v>454</v>
      </c>
      <c r="F612" s="25" t="s">
        <v>2338</v>
      </c>
      <c r="G612" s="22">
        <v>10</v>
      </c>
      <c r="H612" s="22">
        <v>18</v>
      </c>
      <c r="I612" s="22">
        <v>24.9</v>
      </c>
      <c r="J612" s="22">
        <v>21</v>
      </c>
      <c r="K612" s="22">
        <v>53</v>
      </c>
      <c r="L612" s="22">
        <v>38</v>
      </c>
      <c r="M612" s="38" t="s">
        <v>1136</v>
      </c>
      <c r="N612" s="38" t="s">
        <v>1137</v>
      </c>
    </row>
    <row r="613" spans="1:14">
      <c r="A613" s="335">
        <v>606</v>
      </c>
      <c r="B613" s="39">
        <f t="shared" si="58"/>
        <v>394</v>
      </c>
      <c r="C613" s="39">
        <f t="shared" si="59"/>
        <v>454</v>
      </c>
      <c r="F613" s="25" t="s">
        <v>2339</v>
      </c>
      <c r="G613" s="22">
        <v>10</v>
      </c>
      <c r="H613" s="22">
        <v>19</v>
      </c>
      <c r="I613" s="22">
        <v>55</v>
      </c>
      <c r="J613" s="22">
        <v>45</v>
      </c>
      <c r="K613" s="22">
        <v>32</v>
      </c>
      <c r="L613" s="22">
        <v>59</v>
      </c>
      <c r="M613" s="38" t="s">
        <v>1138</v>
      </c>
      <c r="N613" s="38" t="s">
        <v>1139</v>
      </c>
    </row>
    <row r="614" spans="1:14">
      <c r="A614" s="335">
        <v>607</v>
      </c>
      <c r="B614" s="39">
        <f t="shared" si="58"/>
        <v>394</v>
      </c>
      <c r="C614" s="39">
        <f t="shared" si="59"/>
        <v>454</v>
      </c>
      <c r="F614" s="41" t="s">
        <v>3785</v>
      </c>
      <c r="G614" s="22">
        <v>10</v>
      </c>
      <c r="H614" s="22">
        <v>23</v>
      </c>
      <c r="I614" s="22">
        <v>27</v>
      </c>
      <c r="J614" s="22">
        <v>19</v>
      </c>
      <c r="K614" s="22">
        <v>53</v>
      </c>
      <c r="L614" s="22">
        <v>55</v>
      </c>
      <c r="M614" s="38" t="s">
        <v>3786</v>
      </c>
      <c r="N614" s="38" t="s">
        <v>1141</v>
      </c>
    </row>
    <row r="615" spans="1:14">
      <c r="A615" s="335">
        <v>608</v>
      </c>
      <c r="B615" s="39">
        <f t="shared" si="58"/>
        <v>394</v>
      </c>
      <c r="C615" s="39">
        <f t="shared" si="59"/>
        <v>454</v>
      </c>
      <c r="F615" s="25" t="s">
        <v>2340</v>
      </c>
      <c r="G615" s="22">
        <v>10</v>
      </c>
      <c r="H615" s="22">
        <v>23</v>
      </c>
      <c r="I615" s="22">
        <v>30.6</v>
      </c>
      <c r="J615" s="22">
        <v>19</v>
      </c>
      <c r="K615" s="22">
        <v>51</v>
      </c>
      <c r="L615" s="22">
        <v>54</v>
      </c>
      <c r="M615" s="38" t="s">
        <v>1140</v>
      </c>
      <c r="N615" s="38" t="s">
        <v>1141</v>
      </c>
    </row>
    <row r="616" spans="1:14">
      <c r="A616" s="335">
        <v>609</v>
      </c>
      <c r="B616" s="39">
        <f t="shared" si="58"/>
        <v>394</v>
      </c>
      <c r="C616" s="39">
        <f t="shared" si="59"/>
        <v>454</v>
      </c>
      <c r="F616" s="25" t="s">
        <v>2341</v>
      </c>
      <c r="G616" s="22">
        <v>10</v>
      </c>
      <c r="H616" s="22">
        <v>25</v>
      </c>
      <c r="I616" s="22">
        <v>6.1</v>
      </c>
      <c r="J616" s="22">
        <v>17</v>
      </c>
      <c r="K616" s="22">
        <v>7</v>
      </c>
      <c r="L616" s="22">
        <v>38</v>
      </c>
      <c r="M616" s="22" t="s">
        <v>1142</v>
      </c>
      <c r="N616" s="22" t="s">
        <v>1143</v>
      </c>
    </row>
    <row r="617" spans="1:14">
      <c r="A617" s="335">
        <v>610</v>
      </c>
      <c r="B617" s="39">
        <f t="shared" si="58"/>
        <v>394</v>
      </c>
      <c r="C617" s="39">
        <f t="shared" si="59"/>
        <v>454</v>
      </c>
      <c r="F617" s="25" t="s">
        <v>2342</v>
      </c>
      <c r="G617" s="22">
        <v>10</v>
      </c>
      <c r="H617" s="22">
        <v>24</v>
      </c>
      <c r="I617" s="22">
        <v>46.1</v>
      </c>
      <c r="J617" s="22">
        <v>-18</v>
      </c>
      <c r="K617" s="22">
        <v>-38</v>
      </c>
      <c r="L617" s="22">
        <v>-33</v>
      </c>
      <c r="M617" s="22" t="s">
        <v>1144</v>
      </c>
      <c r="N617" s="22" t="s">
        <v>1145</v>
      </c>
    </row>
    <row r="618" spans="1:14">
      <c r="A618" s="335">
        <v>611</v>
      </c>
      <c r="B618" s="39">
        <f t="shared" si="58"/>
        <v>394</v>
      </c>
      <c r="C618" s="39">
        <f t="shared" si="59"/>
        <v>454</v>
      </c>
      <c r="F618" s="25" t="s">
        <v>2343</v>
      </c>
      <c r="G618" s="22">
        <v>10</v>
      </c>
      <c r="H618" s="22">
        <v>39</v>
      </c>
      <c r="I618" s="22">
        <v>9.5</v>
      </c>
      <c r="J618" s="22">
        <v>41</v>
      </c>
      <c r="K618" s="22">
        <v>41</v>
      </c>
      <c r="L618" s="22">
        <v>13</v>
      </c>
      <c r="M618" s="22" t="s">
        <v>1146</v>
      </c>
      <c r="N618" s="22" t="s">
        <v>1147</v>
      </c>
    </row>
    <row r="619" spans="1:14">
      <c r="A619" s="335">
        <v>612</v>
      </c>
      <c r="B619" s="39">
        <f t="shared" si="58"/>
        <v>394</v>
      </c>
      <c r="C619" s="39">
        <f t="shared" si="59"/>
        <v>454</v>
      </c>
      <c r="F619" s="25" t="s">
        <v>2344</v>
      </c>
      <c r="G619" s="22">
        <v>10</v>
      </c>
      <c r="H619" s="22">
        <v>42</v>
      </c>
      <c r="I619" s="22">
        <v>7.5</v>
      </c>
      <c r="J619" s="22">
        <v>13</v>
      </c>
      <c r="K619" s="22">
        <v>44</v>
      </c>
      <c r="L619" s="22">
        <v>49</v>
      </c>
      <c r="M619" s="38" t="s">
        <v>1148</v>
      </c>
      <c r="N619" s="38" t="s">
        <v>1149</v>
      </c>
    </row>
    <row r="620" spans="1:14">
      <c r="A620" s="335">
        <v>613</v>
      </c>
      <c r="B620" s="39">
        <f t="shared" si="58"/>
        <v>394</v>
      </c>
      <c r="C620" s="39">
        <f t="shared" si="59"/>
        <v>454</v>
      </c>
      <c r="F620" s="25" t="s">
        <v>2345</v>
      </c>
      <c r="G620" s="22">
        <v>10</v>
      </c>
      <c r="H620" s="22">
        <v>43</v>
      </c>
      <c r="I620" s="22">
        <v>31.1</v>
      </c>
      <c r="J620" s="22">
        <v>24</v>
      </c>
      <c r="K620" s="22">
        <v>55</v>
      </c>
      <c r="L620" s="22">
        <v>20</v>
      </c>
      <c r="M620" s="22" t="s">
        <v>1150</v>
      </c>
      <c r="N620" s="22" t="s">
        <v>1151</v>
      </c>
    </row>
    <row r="621" spans="1:14">
      <c r="A621" s="335">
        <v>614</v>
      </c>
      <c r="B621" s="39">
        <f t="shared" si="58"/>
        <v>394</v>
      </c>
      <c r="C621" s="39">
        <f t="shared" si="59"/>
        <v>454</v>
      </c>
      <c r="F621" s="25" t="s">
        <v>2346</v>
      </c>
      <c r="G621" s="22">
        <v>10</v>
      </c>
      <c r="H621" s="22">
        <v>48</v>
      </c>
      <c r="I621" s="22">
        <v>16.899999999999999</v>
      </c>
      <c r="J621" s="22">
        <v>12</v>
      </c>
      <c r="K621" s="22">
        <v>37</v>
      </c>
      <c r="L621" s="22">
        <v>45</v>
      </c>
      <c r="M621" s="22" t="s">
        <v>1152</v>
      </c>
      <c r="N621" s="22" t="s">
        <v>1143</v>
      </c>
    </row>
    <row r="622" spans="1:14">
      <c r="A622" s="335">
        <v>615</v>
      </c>
      <c r="B622" s="39">
        <f t="shared" si="58"/>
        <v>394</v>
      </c>
      <c r="C622" s="39">
        <f t="shared" si="59"/>
        <v>454</v>
      </c>
      <c r="F622" s="25" t="s">
        <v>2347</v>
      </c>
      <c r="G622" s="22">
        <v>10</v>
      </c>
      <c r="H622" s="22">
        <v>47</v>
      </c>
      <c r="I622" s="22">
        <v>42.4</v>
      </c>
      <c r="J622" s="22">
        <v>13</v>
      </c>
      <c r="K622" s="22">
        <v>59</v>
      </c>
      <c r="L622" s="22">
        <v>8</v>
      </c>
      <c r="M622" s="22" t="s">
        <v>1153</v>
      </c>
      <c r="N622" s="38" t="s">
        <v>1154</v>
      </c>
    </row>
    <row r="623" spans="1:14">
      <c r="A623" s="335">
        <v>616</v>
      </c>
      <c r="B623" s="39">
        <f t="shared" si="58"/>
        <v>394</v>
      </c>
      <c r="C623" s="39">
        <f t="shared" si="59"/>
        <v>454</v>
      </c>
      <c r="F623" s="25" t="s">
        <v>2348</v>
      </c>
      <c r="G623" s="22">
        <v>10</v>
      </c>
      <c r="H623" s="22">
        <v>48</v>
      </c>
      <c r="I623" s="22">
        <v>16.899999999999999</v>
      </c>
      <c r="J623" s="22">
        <v>12</v>
      </c>
      <c r="K623" s="22">
        <v>37</v>
      </c>
      <c r="L623" s="22">
        <v>45</v>
      </c>
      <c r="M623" s="22" t="s">
        <v>1152</v>
      </c>
      <c r="N623" s="22" t="s">
        <v>1143</v>
      </c>
    </row>
    <row r="624" spans="1:14">
      <c r="A624" s="335">
        <v>617</v>
      </c>
      <c r="B624" s="39">
        <f t="shared" si="58"/>
        <v>394</v>
      </c>
      <c r="C624" s="39">
        <f t="shared" si="59"/>
        <v>454</v>
      </c>
      <c r="F624" s="25" t="s">
        <v>2349</v>
      </c>
      <c r="G624" s="22">
        <v>10</v>
      </c>
      <c r="H624" s="22">
        <v>50</v>
      </c>
      <c r="I624" s="22">
        <v>53.3</v>
      </c>
      <c r="J624" s="22">
        <v>13</v>
      </c>
      <c r="K624" s="22">
        <v>24</v>
      </c>
      <c r="L624" s="22">
        <v>44</v>
      </c>
      <c r="M624" s="22" t="s">
        <v>1155</v>
      </c>
      <c r="N624" s="38" t="s">
        <v>991</v>
      </c>
    </row>
    <row r="625" spans="1:14">
      <c r="A625" s="335">
        <v>618</v>
      </c>
      <c r="B625" s="39">
        <f t="shared" si="58"/>
        <v>394</v>
      </c>
      <c r="C625" s="39">
        <f t="shared" si="59"/>
        <v>454</v>
      </c>
      <c r="F625" s="25" t="s">
        <v>2350</v>
      </c>
      <c r="G625" s="22">
        <v>10</v>
      </c>
      <c r="H625" s="22">
        <v>51</v>
      </c>
      <c r="I625" s="22">
        <v>16.2</v>
      </c>
      <c r="J625" s="22">
        <v>27</v>
      </c>
      <c r="K625" s="22">
        <v>58</v>
      </c>
      <c r="L625" s="22">
        <v>30</v>
      </c>
      <c r="M625" s="22" t="s">
        <v>1156</v>
      </c>
      <c r="N625" s="22" t="s">
        <v>991</v>
      </c>
    </row>
    <row r="626" spans="1:14">
      <c r="A626" s="335">
        <v>619</v>
      </c>
      <c r="B626" s="39">
        <f t="shared" si="58"/>
        <v>394</v>
      </c>
      <c r="C626" s="39">
        <f t="shared" si="59"/>
        <v>454</v>
      </c>
      <c r="F626" s="25" t="s">
        <v>2351</v>
      </c>
      <c r="G626" s="22">
        <v>11</v>
      </c>
      <c r="H626" s="22">
        <v>0</v>
      </c>
      <c r="I626" s="22">
        <v>23.9</v>
      </c>
      <c r="J626" s="22">
        <v>28</v>
      </c>
      <c r="K626" s="22">
        <v>58</v>
      </c>
      <c r="L626" s="22">
        <v>29</v>
      </c>
      <c r="M626" s="22" t="s">
        <v>1157</v>
      </c>
      <c r="N626" s="22" t="s">
        <v>1158</v>
      </c>
    </row>
    <row r="627" spans="1:14">
      <c r="A627" s="335">
        <v>620</v>
      </c>
      <c r="B627" s="39">
        <f t="shared" si="58"/>
        <v>394</v>
      </c>
      <c r="C627" s="39">
        <f t="shared" si="59"/>
        <v>454</v>
      </c>
      <c r="F627" s="25" t="s">
        <v>2352</v>
      </c>
      <c r="G627" s="22">
        <v>11</v>
      </c>
      <c r="H627" s="22">
        <v>0</v>
      </c>
      <c r="I627" s="22">
        <v>18.600000000000001</v>
      </c>
      <c r="J627" s="22">
        <v>13</v>
      </c>
      <c r="K627" s="22">
        <v>54</v>
      </c>
      <c r="L627" s="22">
        <v>5</v>
      </c>
      <c r="M627" s="22" t="s">
        <v>1159</v>
      </c>
      <c r="N627" s="38" t="s">
        <v>991</v>
      </c>
    </row>
    <row r="628" spans="1:14">
      <c r="A628" s="335">
        <v>621</v>
      </c>
      <c r="B628" s="39">
        <f t="shared" si="58"/>
        <v>394</v>
      </c>
      <c r="C628" s="39">
        <f t="shared" si="59"/>
        <v>454</v>
      </c>
      <c r="F628" s="25" t="s">
        <v>2353</v>
      </c>
      <c r="G628" s="22">
        <v>11</v>
      </c>
      <c r="H628" s="22">
        <v>3</v>
      </c>
      <c r="I628" s="22">
        <v>11.2</v>
      </c>
      <c r="J628" s="22">
        <v>27</v>
      </c>
      <c r="K628" s="22">
        <v>58</v>
      </c>
      <c r="L628" s="22">
        <v>21</v>
      </c>
      <c r="M628" s="22" t="s">
        <v>1160</v>
      </c>
      <c r="N628" s="22" t="s">
        <v>991</v>
      </c>
    </row>
    <row r="629" spans="1:14">
      <c r="A629" s="335">
        <v>622</v>
      </c>
      <c r="B629" s="39">
        <f t="shared" si="58"/>
        <v>394</v>
      </c>
      <c r="C629" s="39">
        <f t="shared" si="59"/>
        <v>454</v>
      </c>
      <c r="F629" s="25" t="s">
        <v>2354</v>
      </c>
      <c r="G629" s="22">
        <v>11</v>
      </c>
      <c r="H629" s="22">
        <v>5</v>
      </c>
      <c r="I629" s="22">
        <v>48.6</v>
      </c>
      <c r="J629" s="22">
        <v>0</v>
      </c>
      <c r="K629" s="22">
        <v>-2</v>
      </c>
      <c r="L629" s="22">
        <v>-9</v>
      </c>
      <c r="M629" s="22" t="s">
        <v>1161</v>
      </c>
      <c r="N629" s="38" t="s">
        <v>1162</v>
      </c>
    </row>
    <row r="630" spans="1:14">
      <c r="A630" s="335">
        <v>623</v>
      </c>
      <c r="B630" s="39">
        <f t="shared" si="58"/>
        <v>394</v>
      </c>
      <c r="C630" s="39">
        <f t="shared" si="59"/>
        <v>454</v>
      </c>
      <c r="F630" s="41" t="s">
        <v>3799</v>
      </c>
      <c r="G630" s="22">
        <v>11</v>
      </c>
      <c r="H630" s="22">
        <v>13</v>
      </c>
      <c r="I630" s="22">
        <v>17.100000000000001</v>
      </c>
      <c r="J630" s="22">
        <v>-26</v>
      </c>
      <c r="K630" s="22">
        <v>-45</v>
      </c>
      <c r="L630" s="22">
        <v>-18</v>
      </c>
      <c r="M630" s="22" t="s">
        <v>3800</v>
      </c>
      <c r="N630" s="38" t="s">
        <v>1073</v>
      </c>
    </row>
    <row r="631" spans="1:14">
      <c r="A631" s="335">
        <v>624</v>
      </c>
      <c r="B631" s="39">
        <f t="shared" si="58"/>
        <v>394</v>
      </c>
      <c r="C631" s="39">
        <f t="shared" si="59"/>
        <v>454</v>
      </c>
      <c r="F631" s="25" t="s">
        <v>2355</v>
      </c>
      <c r="G631" s="22">
        <v>11</v>
      </c>
      <c r="H631" s="22">
        <v>14</v>
      </c>
      <c r="I631" s="22">
        <v>37</v>
      </c>
      <c r="J631" s="22">
        <v>12</v>
      </c>
      <c r="K631" s="22">
        <v>49</v>
      </c>
      <c r="L631" s="22">
        <v>5</v>
      </c>
      <c r="M631" s="22" t="s">
        <v>1163</v>
      </c>
      <c r="N631" s="22" t="s">
        <v>1164</v>
      </c>
    </row>
    <row r="632" spans="1:14">
      <c r="A632" s="335">
        <v>625</v>
      </c>
      <c r="B632" s="39">
        <f t="shared" si="58"/>
        <v>394</v>
      </c>
      <c r="C632" s="39">
        <f t="shared" si="59"/>
        <v>454</v>
      </c>
      <c r="F632" s="25" t="s">
        <v>2356</v>
      </c>
      <c r="G632" s="22">
        <v>11</v>
      </c>
      <c r="H632" s="22">
        <v>16</v>
      </c>
      <c r="I632" s="22">
        <v>54.7</v>
      </c>
      <c r="J632" s="22">
        <v>18</v>
      </c>
      <c r="K632" s="22">
        <v>3</v>
      </c>
      <c r="L632" s="22">
        <v>7</v>
      </c>
      <c r="M632" s="22" t="s">
        <v>1165</v>
      </c>
      <c r="N632" s="38" t="s">
        <v>1166</v>
      </c>
    </row>
    <row r="633" spans="1:14">
      <c r="A633" s="335">
        <v>626</v>
      </c>
      <c r="B633" s="39">
        <f t="shared" si="58"/>
        <v>394</v>
      </c>
      <c r="C633" s="39">
        <f t="shared" si="59"/>
        <v>454</v>
      </c>
      <c r="F633" s="25" t="s">
        <v>2357</v>
      </c>
      <c r="G633" s="22">
        <v>11</v>
      </c>
      <c r="H633" s="22">
        <v>16</v>
      </c>
      <c r="I633" s="22">
        <v>59</v>
      </c>
      <c r="J633" s="22">
        <v>18</v>
      </c>
      <c r="K633" s="22">
        <v>8</v>
      </c>
      <c r="L633" s="22">
        <v>55</v>
      </c>
      <c r="M633" s="22" t="s">
        <v>1167</v>
      </c>
      <c r="N633" s="38" t="s">
        <v>991</v>
      </c>
    </row>
    <row r="634" spans="1:14">
      <c r="A634" s="335">
        <v>627</v>
      </c>
      <c r="B634" s="39">
        <f t="shared" si="58"/>
        <v>394</v>
      </c>
      <c r="C634" s="39">
        <f t="shared" si="59"/>
        <v>454</v>
      </c>
      <c r="F634" s="25" t="s">
        <v>2358</v>
      </c>
      <c r="G634" s="22">
        <v>11</v>
      </c>
      <c r="H634" s="22">
        <v>18</v>
      </c>
      <c r="I634" s="22">
        <v>16.3</v>
      </c>
      <c r="J634" s="22">
        <v>-32</v>
      </c>
      <c r="K634" s="22">
        <v>-48</v>
      </c>
      <c r="L634" s="22">
        <v>-45</v>
      </c>
      <c r="M634" s="22" t="s">
        <v>1168</v>
      </c>
      <c r="N634" s="38" t="s">
        <v>1169</v>
      </c>
    </row>
    <row r="635" spans="1:14">
      <c r="A635" s="335">
        <v>628</v>
      </c>
      <c r="B635" s="39">
        <f t="shared" si="58"/>
        <v>394</v>
      </c>
      <c r="C635" s="39">
        <f t="shared" si="59"/>
        <v>454</v>
      </c>
      <c r="F635" s="25" t="s">
        <v>2359</v>
      </c>
      <c r="G635" s="22">
        <v>11</v>
      </c>
      <c r="H635" s="22">
        <v>20</v>
      </c>
      <c r="I635" s="22">
        <v>3.8</v>
      </c>
      <c r="J635" s="22">
        <v>18</v>
      </c>
      <c r="K635" s="22">
        <v>21</v>
      </c>
      <c r="L635" s="22">
        <v>24</v>
      </c>
      <c r="M635" s="22" t="s">
        <v>1170</v>
      </c>
      <c r="N635" s="38" t="s">
        <v>1171</v>
      </c>
    </row>
    <row r="636" spans="1:14">
      <c r="A636" s="335">
        <v>629</v>
      </c>
      <c r="B636" s="39">
        <f t="shared" si="58"/>
        <v>394</v>
      </c>
      <c r="C636" s="39">
        <f t="shared" si="59"/>
        <v>454</v>
      </c>
      <c r="F636" s="25" t="s">
        <v>2360</v>
      </c>
      <c r="G636" s="22">
        <v>11</v>
      </c>
      <c r="H636" s="22">
        <v>20</v>
      </c>
      <c r="I636" s="22">
        <v>17</v>
      </c>
      <c r="J636" s="22">
        <v>13</v>
      </c>
      <c r="K636" s="22">
        <v>35</v>
      </c>
      <c r="L636" s="22">
        <v>22</v>
      </c>
      <c r="M636" s="22" t="s">
        <v>1172</v>
      </c>
      <c r="N636" s="38" t="s">
        <v>1173</v>
      </c>
    </row>
    <row r="637" spans="1:14">
      <c r="A637" s="335">
        <v>630</v>
      </c>
      <c r="B637" s="39">
        <f t="shared" si="58"/>
        <v>394</v>
      </c>
      <c r="C637" s="39">
        <f t="shared" si="59"/>
        <v>454</v>
      </c>
      <c r="F637" s="25" t="s">
        <v>2361</v>
      </c>
      <c r="G637" s="22">
        <v>11</v>
      </c>
      <c r="H637" s="22">
        <v>21</v>
      </c>
      <c r="I637" s="22">
        <v>6.8</v>
      </c>
      <c r="J637" s="22">
        <v>3</v>
      </c>
      <c r="K637" s="22">
        <v>14</v>
      </c>
      <c r="L637" s="22">
        <v>5</v>
      </c>
      <c r="M637" s="22" t="s">
        <v>1174</v>
      </c>
      <c r="N637" s="38" t="s">
        <v>991</v>
      </c>
    </row>
    <row r="638" spans="1:14">
      <c r="A638" s="335">
        <v>631</v>
      </c>
      <c r="B638" s="39">
        <f t="shared" si="58"/>
        <v>394</v>
      </c>
      <c r="C638" s="39">
        <f t="shared" si="59"/>
        <v>454</v>
      </c>
      <c r="F638" s="25" t="s">
        <v>2362</v>
      </c>
      <c r="G638" s="22">
        <v>11</v>
      </c>
      <c r="H638" s="22">
        <v>21</v>
      </c>
      <c r="I638" s="22">
        <v>43.1</v>
      </c>
      <c r="J638" s="22">
        <v>20</v>
      </c>
      <c r="K638" s="22">
        <v>10</v>
      </c>
      <c r="L638" s="22">
        <v>10</v>
      </c>
      <c r="M638" s="22" t="s">
        <v>1175</v>
      </c>
      <c r="N638" s="38" t="s">
        <v>991</v>
      </c>
    </row>
    <row r="639" spans="1:14">
      <c r="A639" s="335">
        <v>632</v>
      </c>
      <c r="B639" s="39">
        <f t="shared" si="58"/>
        <v>394</v>
      </c>
      <c r="C639" s="39">
        <f t="shared" si="59"/>
        <v>454</v>
      </c>
      <c r="F639" s="25" t="s">
        <v>2363</v>
      </c>
      <c r="G639" s="22">
        <v>11</v>
      </c>
      <c r="H639" s="22">
        <v>26</v>
      </c>
      <c r="I639" s="22">
        <v>8.6</v>
      </c>
      <c r="J639" s="22">
        <v>43</v>
      </c>
      <c r="K639" s="22">
        <v>35</v>
      </c>
      <c r="L639" s="22">
        <v>9</v>
      </c>
      <c r="M639" s="22" t="s">
        <v>1176</v>
      </c>
      <c r="N639" s="22" t="s">
        <v>991</v>
      </c>
    </row>
    <row r="640" spans="1:14">
      <c r="A640" s="335">
        <v>633</v>
      </c>
      <c r="B640" s="39">
        <f t="shared" si="58"/>
        <v>394</v>
      </c>
      <c r="C640" s="39">
        <f t="shared" si="59"/>
        <v>454</v>
      </c>
      <c r="F640" s="25" t="s">
        <v>2364</v>
      </c>
      <c r="G640" s="22">
        <v>11</v>
      </c>
      <c r="H640" s="22">
        <v>32</v>
      </c>
      <c r="I640" s="22">
        <v>34.9</v>
      </c>
      <c r="J640" s="22">
        <v>53</v>
      </c>
      <c r="K640" s="22">
        <v>4</v>
      </c>
      <c r="L640" s="22">
        <v>4</v>
      </c>
      <c r="M640" s="22" t="s">
        <v>1177</v>
      </c>
      <c r="N640" s="22" t="s">
        <v>1178</v>
      </c>
    </row>
    <row r="641" spans="1:14">
      <c r="A641" s="335">
        <v>634</v>
      </c>
      <c r="B641" s="39">
        <f t="shared" si="58"/>
        <v>394</v>
      </c>
      <c r="C641" s="39">
        <f t="shared" si="59"/>
        <v>454</v>
      </c>
      <c r="F641" s="25" t="s">
        <v>2365</v>
      </c>
      <c r="G641" s="22">
        <v>11</v>
      </c>
      <c r="H641" s="22">
        <v>40</v>
      </c>
      <c r="I641" s="22">
        <v>58.7</v>
      </c>
      <c r="J641" s="22">
        <v>11</v>
      </c>
      <c r="K641" s="22">
        <v>28</v>
      </c>
      <c r="L641" s="22">
        <v>16</v>
      </c>
      <c r="M641" s="22" t="s">
        <v>1179</v>
      </c>
      <c r="N641" s="38" t="s">
        <v>1180</v>
      </c>
    </row>
    <row r="642" spans="1:14">
      <c r="A642" s="335">
        <v>635</v>
      </c>
      <c r="B642" s="39">
        <f t="shared" si="58"/>
        <v>394</v>
      </c>
      <c r="C642" s="39">
        <f t="shared" si="59"/>
        <v>454</v>
      </c>
      <c r="F642" s="25" t="s">
        <v>2366</v>
      </c>
      <c r="G642" s="22">
        <v>11</v>
      </c>
      <c r="H642" s="22">
        <v>44</v>
      </c>
      <c r="I642" s="22">
        <v>2.2000000000000002</v>
      </c>
      <c r="J642" s="22">
        <v>19</v>
      </c>
      <c r="K642" s="22">
        <v>56</v>
      </c>
      <c r="L642" s="22">
        <v>59</v>
      </c>
      <c r="M642" s="22" t="s">
        <v>1181</v>
      </c>
      <c r="N642" s="38" t="s">
        <v>1182</v>
      </c>
    </row>
    <row r="643" spans="1:14">
      <c r="A643" s="335">
        <v>636</v>
      </c>
      <c r="B643" s="39">
        <f t="shared" si="58"/>
        <v>394</v>
      </c>
      <c r="C643" s="39">
        <f t="shared" si="59"/>
        <v>454</v>
      </c>
      <c r="F643" s="25" t="s">
        <v>2367</v>
      </c>
      <c r="G643" s="22">
        <v>11</v>
      </c>
      <c r="H643" s="22">
        <v>51</v>
      </c>
      <c r="I643" s="22">
        <v>1.8</v>
      </c>
      <c r="J643" s="22">
        <v>-28</v>
      </c>
      <c r="K643" s="22">
        <v>-48</v>
      </c>
      <c r="L643" s="22">
        <v>-22</v>
      </c>
      <c r="M643" s="22" t="s">
        <v>1183</v>
      </c>
      <c r="N643" s="38" t="s">
        <v>1184</v>
      </c>
    </row>
    <row r="644" spans="1:14">
      <c r="A644" s="335">
        <v>637</v>
      </c>
      <c r="B644" s="39">
        <f t="shared" si="58"/>
        <v>394</v>
      </c>
      <c r="C644" s="39">
        <f t="shared" si="59"/>
        <v>454</v>
      </c>
      <c r="F644" s="25" t="s">
        <v>2368</v>
      </c>
      <c r="G644" s="22">
        <v>11</v>
      </c>
      <c r="H644" s="22">
        <v>52</v>
      </c>
      <c r="I644" s="22">
        <v>55.4</v>
      </c>
      <c r="J644" s="22">
        <v>36</v>
      </c>
      <c r="K644" s="22">
        <v>59</v>
      </c>
      <c r="L644" s="22">
        <v>11</v>
      </c>
      <c r="M644" s="22" t="s">
        <v>1185</v>
      </c>
      <c r="N644" s="38" t="s">
        <v>1186</v>
      </c>
    </row>
    <row r="645" spans="1:14">
      <c r="A645" s="335">
        <v>638</v>
      </c>
      <c r="B645" s="39">
        <f t="shared" si="58"/>
        <v>394</v>
      </c>
      <c r="C645" s="39">
        <f t="shared" si="59"/>
        <v>454</v>
      </c>
      <c r="F645" s="41" t="s">
        <v>3787</v>
      </c>
      <c r="G645" s="22">
        <v>11</v>
      </c>
      <c r="H645" s="22">
        <v>53</v>
      </c>
      <c r="I645" s="22">
        <v>46</v>
      </c>
      <c r="J645" s="22">
        <v>52</v>
      </c>
      <c r="K645" s="22">
        <v>19</v>
      </c>
      <c r="L645" s="22">
        <v>36</v>
      </c>
      <c r="M645" s="22" t="s">
        <v>3961</v>
      </c>
      <c r="N645" s="38"/>
    </row>
    <row r="646" spans="1:14">
      <c r="A646" s="335">
        <v>639</v>
      </c>
      <c r="B646" s="39">
        <f t="shared" ref="B646:B709" si="60">IF(B645=F646,A646,B645)</f>
        <v>394</v>
      </c>
      <c r="C646" s="39">
        <f t="shared" ref="C646:C709" si="61" xml:space="preserve"> IF(C645=F646,A646,C645)</f>
        <v>454</v>
      </c>
      <c r="F646" s="25" t="s">
        <v>2369</v>
      </c>
      <c r="G646" s="22">
        <v>12</v>
      </c>
      <c r="H646" s="22">
        <v>1</v>
      </c>
      <c r="I646" s="22">
        <v>53</v>
      </c>
      <c r="J646" s="22">
        <v>-18</v>
      </c>
      <c r="K646" s="22">
        <v>-52</v>
      </c>
      <c r="L646" s="22">
        <v>-3</v>
      </c>
      <c r="M646" s="22" t="s">
        <v>1187</v>
      </c>
      <c r="N646" s="22" t="s">
        <v>1188</v>
      </c>
    </row>
    <row r="647" spans="1:14">
      <c r="A647" s="335">
        <v>640</v>
      </c>
      <c r="B647" s="39">
        <f t="shared" si="60"/>
        <v>394</v>
      </c>
      <c r="C647" s="39">
        <f t="shared" si="61"/>
        <v>454</v>
      </c>
      <c r="F647" s="25" t="s">
        <v>2370</v>
      </c>
      <c r="G647" s="22">
        <v>12</v>
      </c>
      <c r="H647" s="22">
        <v>1</v>
      </c>
      <c r="I647" s="22">
        <v>53.9</v>
      </c>
      <c r="J647" s="22">
        <v>-18</v>
      </c>
      <c r="K647" s="22">
        <v>-51</v>
      </c>
      <c r="L647" s="22">
        <v>-6</v>
      </c>
      <c r="M647" s="22" t="s">
        <v>1189</v>
      </c>
      <c r="N647" s="22" t="s">
        <v>1188</v>
      </c>
    </row>
    <row r="648" spans="1:14">
      <c r="A648" s="335">
        <v>641</v>
      </c>
      <c r="B648" s="39">
        <f t="shared" si="60"/>
        <v>394</v>
      </c>
      <c r="C648" s="39">
        <f t="shared" si="61"/>
        <v>454</v>
      </c>
      <c r="F648" s="25" t="s">
        <v>2371</v>
      </c>
      <c r="G648" s="22">
        <v>12</v>
      </c>
      <c r="H648" s="22">
        <v>8</v>
      </c>
      <c r="I648" s="22">
        <v>6</v>
      </c>
      <c r="J648" s="22">
        <v>65</v>
      </c>
      <c r="K648" s="22">
        <v>10</v>
      </c>
      <c r="L648" s="22">
        <v>27</v>
      </c>
      <c r="M648" s="22" t="s">
        <v>1190</v>
      </c>
      <c r="N648" s="22" t="s">
        <v>1191</v>
      </c>
    </row>
    <row r="649" spans="1:14">
      <c r="A649" s="335">
        <v>642</v>
      </c>
      <c r="B649" s="39">
        <f t="shared" si="60"/>
        <v>394</v>
      </c>
      <c r="C649" s="39">
        <f t="shared" si="61"/>
        <v>454</v>
      </c>
      <c r="F649" s="25" t="s">
        <v>2372</v>
      </c>
      <c r="G649" s="22">
        <v>12</v>
      </c>
      <c r="H649" s="22">
        <v>10</v>
      </c>
      <c r="I649" s="22">
        <v>32.6</v>
      </c>
      <c r="J649" s="22">
        <v>39</v>
      </c>
      <c r="K649" s="22">
        <v>24</v>
      </c>
      <c r="L649" s="22">
        <v>21</v>
      </c>
      <c r="M649" s="22" t="s">
        <v>1192</v>
      </c>
      <c r="N649" s="22" t="s">
        <v>1193</v>
      </c>
    </row>
    <row r="650" spans="1:14">
      <c r="A650" s="335">
        <v>643</v>
      </c>
      <c r="B650" s="39">
        <f t="shared" si="60"/>
        <v>394</v>
      </c>
      <c r="C650" s="39">
        <f t="shared" si="61"/>
        <v>454</v>
      </c>
      <c r="F650" s="25" t="s">
        <v>2373</v>
      </c>
      <c r="G650" s="22">
        <v>12</v>
      </c>
      <c r="H650" s="22">
        <v>15</v>
      </c>
      <c r="I650" s="22">
        <v>39.200000000000003</v>
      </c>
      <c r="J650" s="22">
        <v>36</v>
      </c>
      <c r="K650" s="22">
        <v>19</v>
      </c>
      <c r="L650" s="22">
        <v>37</v>
      </c>
      <c r="M650" s="22" t="s">
        <v>1194</v>
      </c>
      <c r="N650" s="22" t="s">
        <v>1195</v>
      </c>
    </row>
    <row r="651" spans="1:14">
      <c r="A651" s="335">
        <v>644</v>
      </c>
      <c r="B651" s="39">
        <f t="shared" si="60"/>
        <v>394</v>
      </c>
      <c r="C651" s="39">
        <f t="shared" si="61"/>
        <v>454</v>
      </c>
      <c r="F651" s="25" t="s">
        <v>2374</v>
      </c>
      <c r="G651" s="22">
        <v>12</v>
      </c>
      <c r="H651" s="22">
        <v>16</v>
      </c>
      <c r="I651" s="22">
        <v>42.2</v>
      </c>
      <c r="J651" s="22">
        <v>69</v>
      </c>
      <c r="K651" s="22">
        <v>27</v>
      </c>
      <c r="L651" s="22">
        <v>45</v>
      </c>
      <c r="M651" s="22" t="s">
        <v>1196</v>
      </c>
      <c r="N651" s="22" t="s">
        <v>1197</v>
      </c>
    </row>
    <row r="652" spans="1:14">
      <c r="A652" s="335">
        <v>645</v>
      </c>
      <c r="B652" s="39">
        <f t="shared" si="60"/>
        <v>394</v>
      </c>
      <c r="C652" s="39">
        <f t="shared" si="61"/>
        <v>454</v>
      </c>
      <c r="F652" s="25" t="s">
        <v>2375</v>
      </c>
      <c r="G652" s="22">
        <v>12</v>
      </c>
      <c r="H652" s="22">
        <v>17</v>
      </c>
      <c r="I652" s="22">
        <v>29.7</v>
      </c>
      <c r="J652" s="22">
        <v>37</v>
      </c>
      <c r="K652" s="22">
        <v>48</v>
      </c>
      <c r="L652" s="22">
        <v>26</v>
      </c>
      <c r="M652" s="22" t="s">
        <v>1198</v>
      </c>
      <c r="N652" s="22" t="s">
        <v>1199</v>
      </c>
    </row>
    <row r="653" spans="1:14">
      <c r="A653" s="335">
        <v>646</v>
      </c>
      <c r="B653" s="39">
        <f t="shared" si="60"/>
        <v>394</v>
      </c>
      <c r="C653" s="39">
        <f t="shared" si="61"/>
        <v>454</v>
      </c>
      <c r="F653" s="25" t="s">
        <v>2376</v>
      </c>
      <c r="G653" s="22">
        <v>12</v>
      </c>
      <c r="H653" s="22">
        <v>24</v>
      </c>
      <c r="I653" s="22">
        <v>28.3</v>
      </c>
      <c r="J653" s="22">
        <v>7</v>
      </c>
      <c r="K653" s="22">
        <v>19</v>
      </c>
      <c r="L653" s="22">
        <v>3</v>
      </c>
      <c r="M653" s="22" t="s">
        <v>1200</v>
      </c>
      <c r="N653" s="22" t="s">
        <v>1201</v>
      </c>
    </row>
    <row r="654" spans="1:14">
      <c r="A654" s="335">
        <v>647</v>
      </c>
      <c r="B654" s="39">
        <f t="shared" si="60"/>
        <v>394</v>
      </c>
      <c r="C654" s="39">
        <f t="shared" si="61"/>
        <v>454</v>
      </c>
      <c r="F654" s="25" t="s">
        <v>2377</v>
      </c>
      <c r="G654" s="22">
        <v>12</v>
      </c>
      <c r="H654" s="22">
        <v>27</v>
      </c>
      <c r="I654" s="22">
        <v>45.7</v>
      </c>
      <c r="J654" s="22">
        <v>13</v>
      </c>
      <c r="K654" s="22">
        <v>0</v>
      </c>
      <c r="L654" s="22">
        <v>31</v>
      </c>
      <c r="M654" s="22" t="s">
        <v>1202</v>
      </c>
      <c r="N654" s="22" t="s">
        <v>1203</v>
      </c>
    </row>
    <row r="655" spans="1:14">
      <c r="A655" s="335">
        <v>648</v>
      </c>
      <c r="B655" s="39">
        <f t="shared" si="60"/>
        <v>394</v>
      </c>
      <c r="C655" s="39">
        <f t="shared" si="61"/>
        <v>454</v>
      </c>
      <c r="F655" s="25" t="s">
        <v>2378</v>
      </c>
      <c r="G655" s="22">
        <v>12</v>
      </c>
      <c r="H655" s="22">
        <v>28</v>
      </c>
      <c r="I655" s="22">
        <v>11.1</v>
      </c>
      <c r="J655" s="22">
        <v>44</v>
      </c>
      <c r="K655" s="22">
        <v>5</v>
      </c>
      <c r="L655" s="22">
        <v>37</v>
      </c>
      <c r="M655" s="22" t="s">
        <v>1204</v>
      </c>
      <c r="N655" s="22" t="s">
        <v>1205</v>
      </c>
    </row>
    <row r="656" spans="1:14">
      <c r="A656" s="335">
        <v>649</v>
      </c>
      <c r="B656" s="39">
        <f t="shared" si="60"/>
        <v>394</v>
      </c>
      <c r="C656" s="39">
        <f t="shared" si="61"/>
        <v>454</v>
      </c>
      <c r="F656" s="41" t="s">
        <v>3788</v>
      </c>
      <c r="G656" s="22">
        <v>12</v>
      </c>
      <c r="H656" s="22">
        <v>30</v>
      </c>
      <c r="I656" s="22">
        <v>31.1</v>
      </c>
      <c r="J656" s="22">
        <v>41</v>
      </c>
      <c r="K656" s="22">
        <v>42</v>
      </c>
      <c r="L656" s="22">
        <v>4</v>
      </c>
      <c r="M656" s="22" t="s">
        <v>3962</v>
      </c>
      <c r="N656" s="22" t="s">
        <v>1206</v>
      </c>
    </row>
    <row r="657" spans="1:14">
      <c r="A657" s="335">
        <v>650</v>
      </c>
      <c r="B657" s="39">
        <f t="shared" si="60"/>
        <v>394</v>
      </c>
      <c r="C657" s="39">
        <f t="shared" si="61"/>
        <v>454</v>
      </c>
      <c r="F657" s="25" t="s">
        <v>2379</v>
      </c>
      <c r="G657" s="22">
        <v>12</v>
      </c>
      <c r="H657" s="22">
        <v>30</v>
      </c>
      <c r="I657" s="22">
        <v>36.4</v>
      </c>
      <c r="J657" s="22">
        <v>41</v>
      </c>
      <c r="K657" s="22">
        <v>38</v>
      </c>
      <c r="L657" s="22">
        <v>38</v>
      </c>
      <c r="M657" s="22" t="s">
        <v>3789</v>
      </c>
      <c r="N657" s="22" t="s">
        <v>1206</v>
      </c>
    </row>
    <row r="658" spans="1:14">
      <c r="A658" s="335">
        <v>651</v>
      </c>
      <c r="B658" s="39">
        <f t="shared" si="60"/>
        <v>394</v>
      </c>
      <c r="C658" s="39">
        <f t="shared" si="61"/>
        <v>454</v>
      </c>
      <c r="F658" s="25" t="s">
        <v>2380</v>
      </c>
      <c r="G658" s="22">
        <v>12</v>
      </c>
      <c r="H658" s="22">
        <v>31</v>
      </c>
      <c r="I658" s="22">
        <v>24</v>
      </c>
      <c r="J658" s="22">
        <v>25</v>
      </c>
      <c r="K658" s="22">
        <v>46</v>
      </c>
      <c r="L658" s="22">
        <v>30</v>
      </c>
      <c r="M658" s="22" t="s">
        <v>1207</v>
      </c>
      <c r="N658" s="22" t="s">
        <v>991</v>
      </c>
    </row>
    <row r="659" spans="1:14">
      <c r="A659" s="335">
        <v>652</v>
      </c>
      <c r="B659" s="39">
        <f t="shared" si="60"/>
        <v>394</v>
      </c>
      <c r="C659" s="39">
        <f t="shared" si="61"/>
        <v>454</v>
      </c>
      <c r="F659" s="25" t="s">
        <v>2381</v>
      </c>
      <c r="G659" s="22">
        <v>12</v>
      </c>
      <c r="H659" s="22">
        <v>34</v>
      </c>
      <c r="I659" s="22">
        <v>3</v>
      </c>
      <c r="J659" s="22">
        <v>7</v>
      </c>
      <c r="K659" s="22">
        <v>41</v>
      </c>
      <c r="L659" s="22">
        <v>57</v>
      </c>
      <c r="M659" s="22" t="s">
        <v>1208</v>
      </c>
      <c r="N659" s="22" t="s">
        <v>991</v>
      </c>
    </row>
    <row r="660" spans="1:14">
      <c r="A660" s="335">
        <v>653</v>
      </c>
      <c r="B660" s="39">
        <f t="shared" si="60"/>
        <v>394</v>
      </c>
      <c r="C660" s="39">
        <f t="shared" si="61"/>
        <v>454</v>
      </c>
      <c r="F660" s="25" t="s">
        <v>2382</v>
      </c>
      <c r="G660" s="22">
        <v>12</v>
      </c>
      <c r="H660" s="22">
        <v>35</v>
      </c>
      <c r="I660" s="22">
        <v>57.7</v>
      </c>
      <c r="J660" s="22">
        <v>27</v>
      </c>
      <c r="K660" s="22">
        <v>57</v>
      </c>
      <c r="L660" s="22">
        <v>35</v>
      </c>
      <c r="M660" s="22" t="s">
        <v>1209</v>
      </c>
      <c r="N660" s="22" t="s">
        <v>991</v>
      </c>
    </row>
    <row r="661" spans="1:14">
      <c r="A661" s="335">
        <v>654</v>
      </c>
      <c r="B661" s="39">
        <f t="shared" si="60"/>
        <v>394</v>
      </c>
      <c r="C661" s="39">
        <f t="shared" si="61"/>
        <v>454</v>
      </c>
      <c r="F661" s="25" t="s">
        <v>2383</v>
      </c>
      <c r="G661" s="22">
        <v>12</v>
      </c>
      <c r="H661" s="22">
        <v>36</v>
      </c>
      <c r="I661" s="22">
        <v>20.8</v>
      </c>
      <c r="J661" s="22">
        <v>25</v>
      </c>
      <c r="K661" s="22">
        <v>59</v>
      </c>
      <c r="L661" s="22">
        <v>15</v>
      </c>
      <c r="M661" s="22" t="s">
        <v>1210</v>
      </c>
      <c r="N661" s="22" t="s">
        <v>1211</v>
      </c>
    </row>
    <row r="662" spans="1:14">
      <c r="A662" s="335">
        <v>655</v>
      </c>
      <c r="B662" s="39">
        <f t="shared" si="60"/>
        <v>394</v>
      </c>
      <c r="C662" s="39">
        <f t="shared" si="61"/>
        <v>454</v>
      </c>
      <c r="F662" s="25" t="s">
        <v>2384</v>
      </c>
      <c r="G662" s="22">
        <v>12</v>
      </c>
      <c r="H662" s="22">
        <v>37</v>
      </c>
      <c r="I662" s="22">
        <v>25</v>
      </c>
      <c r="J662" s="22">
        <v>74</v>
      </c>
      <c r="K662" s="22">
        <v>11</v>
      </c>
      <c r="L662" s="22">
        <v>31</v>
      </c>
      <c r="M662" s="22" t="s">
        <v>1212</v>
      </c>
      <c r="N662" s="22" t="s">
        <v>1213</v>
      </c>
    </row>
    <row r="663" spans="1:14">
      <c r="A663" s="335">
        <v>656</v>
      </c>
      <c r="B663" s="39">
        <f t="shared" si="60"/>
        <v>394</v>
      </c>
      <c r="C663" s="39">
        <f t="shared" si="61"/>
        <v>454</v>
      </c>
      <c r="F663" s="25" t="s">
        <v>2385</v>
      </c>
      <c r="G663" s="22">
        <v>12</v>
      </c>
      <c r="H663" s="22">
        <v>39</v>
      </c>
      <c r="I663" s="22">
        <v>59.4</v>
      </c>
      <c r="J663" s="22">
        <v>61</v>
      </c>
      <c r="K663" s="22">
        <v>36</v>
      </c>
      <c r="L663" s="22">
        <v>33</v>
      </c>
      <c r="M663" s="22" t="s">
        <v>1214</v>
      </c>
      <c r="N663" s="22" t="s">
        <v>1215</v>
      </c>
    </row>
    <row r="664" spans="1:14">
      <c r="A664" s="335">
        <v>657</v>
      </c>
      <c r="B664" s="39">
        <f t="shared" si="60"/>
        <v>394</v>
      </c>
      <c r="C664" s="39">
        <f t="shared" si="61"/>
        <v>454</v>
      </c>
      <c r="F664" s="41" t="s">
        <v>2386</v>
      </c>
      <c r="G664" s="42">
        <v>12</v>
      </c>
      <c r="H664" s="42">
        <v>41</v>
      </c>
      <c r="I664" s="42">
        <v>32.799999999999997</v>
      </c>
      <c r="J664" s="42">
        <v>41</v>
      </c>
      <c r="K664" s="42">
        <v>9</v>
      </c>
      <c r="L664" s="42">
        <v>3</v>
      </c>
      <c r="M664" s="22" t="s">
        <v>1216</v>
      </c>
      <c r="N664" s="22" t="s">
        <v>991</v>
      </c>
    </row>
    <row r="665" spans="1:14">
      <c r="A665" s="335">
        <v>658</v>
      </c>
      <c r="B665" s="39">
        <f t="shared" si="60"/>
        <v>394</v>
      </c>
      <c r="C665" s="39">
        <f t="shared" si="61"/>
        <v>454</v>
      </c>
      <c r="F665" s="41" t="s">
        <v>2387</v>
      </c>
      <c r="G665" s="42">
        <v>12</v>
      </c>
      <c r="H665" s="42">
        <v>42</v>
      </c>
      <c r="I665" s="42">
        <v>8</v>
      </c>
      <c r="J665" s="42">
        <v>32</v>
      </c>
      <c r="K665" s="42">
        <v>32</v>
      </c>
      <c r="L665" s="42">
        <v>29</v>
      </c>
      <c r="M665" s="22" t="s">
        <v>1217</v>
      </c>
      <c r="N665" s="22" t="s">
        <v>1218</v>
      </c>
    </row>
    <row r="666" spans="1:14">
      <c r="A666" s="335">
        <v>659</v>
      </c>
      <c r="B666" s="39">
        <f t="shared" si="60"/>
        <v>394</v>
      </c>
      <c r="C666" s="39">
        <f t="shared" si="61"/>
        <v>454</v>
      </c>
      <c r="F666" s="41" t="s">
        <v>2388</v>
      </c>
      <c r="G666" s="42">
        <v>12</v>
      </c>
      <c r="H666" s="42">
        <v>42</v>
      </c>
      <c r="I666" s="42">
        <v>49.9</v>
      </c>
      <c r="J666" s="42">
        <v>2</v>
      </c>
      <c r="K666" s="42">
        <v>41</v>
      </c>
      <c r="L666" s="42">
        <v>16</v>
      </c>
      <c r="M666" s="22" t="s">
        <v>1219</v>
      </c>
      <c r="N666" s="22" t="s">
        <v>1220</v>
      </c>
    </row>
    <row r="667" spans="1:14">
      <c r="A667" s="335">
        <v>660</v>
      </c>
      <c r="B667" s="39">
        <f t="shared" si="60"/>
        <v>394</v>
      </c>
      <c r="C667" s="39">
        <f t="shared" si="61"/>
        <v>454</v>
      </c>
      <c r="F667" s="41" t="s">
        <v>2389</v>
      </c>
      <c r="G667" s="42">
        <v>12</v>
      </c>
      <c r="H667" s="42">
        <v>43</v>
      </c>
      <c r="I667" s="42">
        <v>57.6</v>
      </c>
      <c r="J667" s="42">
        <v>32</v>
      </c>
      <c r="K667" s="42">
        <v>10</v>
      </c>
      <c r="L667" s="42">
        <v>13</v>
      </c>
      <c r="M667" s="22" t="s">
        <v>1221</v>
      </c>
      <c r="N667" s="22" t="s">
        <v>1162</v>
      </c>
    </row>
    <row r="668" spans="1:14">
      <c r="A668" s="335">
        <v>661</v>
      </c>
      <c r="B668" s="39">
        <f t="shared" si="60"/>
        <v>394</v>
      </c>
      <c r="C668" s="39">
        <f t="shared" si="61"/>
        <v>454</v>
      </c>
      <c r="F668" s="41" t="s">
        <v>2390</v>
      </c>
      <c r="G668" s="42">
        <v>12</v>
      </c>
      <c r="H668" s="42">
        <v>48</v>
      </c>
      <c r="I668" s="42">
        <v>35.9</v>
      </c>
      <c r="J668" s="42">
        <v>-5</v>
      </c>
      <c r="K668" s="42">
        <v>-48</v>
      </c>
      <c r="L668" s="42">
        <v>-3</v>
      </c>
      <c r="M668" s="22" t="s">
        <v>1222</v>
      </c>
      <c r="N668" s="22" t="s">
        <v>1223</v>
      </c>
    </row>
    <row r="669" spans="1:14">
      <c r="A669" s="335">
        <v>662</v>
      </c>
      <c r="B669" s="39">
        <f t="shared" si="60"/>
        <v>394</v>
      </c>
      <c r="C669" s="39">
        <f t="shared" si="61"/>
        <v>454</v>
      </c>
      <c r="F669" s="41" t="s">
        <v>2391</v>
      </c>
      <c r="G669" s="42">
        <v>12</v>
      </c>
      <c r="H669" s="42">
        <v>49</v>
      </c>
      <c r="I669" s="42">
        <v>2.2000000000000002</v>
      </c>
      <c r="J669" s="42">
        <v>-8</v>
      </c>
      <c r="K669" s="42">
        <v>-39</v>
      </c>
      <c r="L669" s="42">
        <v>-51</v>
      </c>
      <c r="M669" s="22" t="s">
        <v>1224</v>
      </c>
      <c r="N669" s="22" t="s">
        <v>1073</v>
      </c>
    </row>
    <row r="670" spans="1:14">
      <c r="A670" s="335">
        <v>663</v>
      </c>
      <c r="B670" s="39">
        <f t="shared" si="60"/>
        <v>394</v>
      </c>
      <c r="C670" s="39">
        <f t="shared" si="61"/>
        <v>454</v>
      </c>
      <c r="F670" s="41" t="s">
        <v>2392</v>
      </c>
      <c r="G670" s="42">
        <v>12</v>
      </c>
      <c r="H670" s="42">
        <v>50</v>
      </c>
      <c r="I670" s="42">
        <v>26.6</v>
      </c>
      <c r="J670" s="42">
        <v>25</v>
      </c>
      <c r="K670" s="42">
        <v>30</v>
      </c>
      <c r="L670" s="42">
        <v>3</v>
      </c>
      <c r="M670" s="22" t="s">
        <v>1225</v>
      </c>
      <c r="N670" s="22" t="s">
        <v>1223</v>
      </c>
    </row>
    <row r="671" spans="1:14">
      <c r="A671" s="335">
        <v>664</v>
      </c>
      <c r="B671" s="39">
        <f t="shared" si="60"/>
        <v>394</v>
      </c>
      <c r="C671" s="39">
        <f t="shared" si="61"/>
        <v>454</v>
      </c>
      <c r="F671" s="25" t="s">
        <v>2393</v>
      </c>
      <c r="G671" s="22">
        <v>12</v>
      </c>
      <c r="H671" s="22">
        <v>52</v>
      </c>
      <c r="I671" s="22">
        <v>22.1</v>
      </c>
      <c r="J671" s="22">
        <v>-11</v>
      </c>
      <c r="K671" s="22">
        <v>-59</v>
      </c>
      <c r="L671" s="22">
        <v>0</v>
      </c>
      <c r="M671" s="22" t="s">
        <v>1226</v>
      </c>
      <c r="N671" s="22" t="s">
        <v>1218</v>
      </c>
    </row>
    <row r="672" spans="1:14">
      <c r="A672" s="335">
        <v>665</v>
      </c>
      <c r="B672" s="39">
        <f t="shared" si="60"/>
        <v>394</v>
      </c>
      <c r="C672" s="39">
        <f t="shared" si="61"/>
        <v>454</v>
      </c>
      <c r="F672" s="41" t="s">
        <v>2394</v>
      </c>
      <c r="G672" s="42">
        <v>12</v>
      </c>
      <c r="H672" s="42">
        <v>52</v>
      </c>
      <c r="I672" s="42">
        <v>56</v>
      </c>
      <c r="J672" s="42">
        <v>11</v>
      </c>
      <c r="K672" s="42">
        <v>13</v>
      </c>
      <c r="L672" s="42">
        <v>51</v>
      </c>
      <c r="M672" s="22" t="s">
        <v>1227</v>
      </c>
      <c r="N672" s="22" t="s">
        <v>1228</v>
      </c>
    </row>
    <row r="673" spans="1:14">
      <c r="A673" s="335">
        <v>666</v>
      </c>
      <c r="B673" s="39">
        <f t="shared" si="60"/>
        <v>394</v>
      </c>
      <c r="C673" s="39">
        <f t="shared" si="61"/>
        <v>454</v>
      </c>
      <c r="F673" s="41" t="s">
        <v>2395</v>
      </c>
      <c r="G673" s="42">
        <v>13</v>
      </c>
      <c r="H673" s="42">
        <v>10</v>
      </c>
      <c r="I673" s="42">
        <v>56.3</v>
      </c>
      <c r="J673" s="42">
        <v>37</v>
      </c>
      <c r="K673" s="42">
        <v>3</v>
      </c>
      <c r="L673" s="42">
        <v>32</v>
      </c>
      <c r="M673" s="22" t="s">
        <v>1229</v>
      </c>
      <c r="N673" s="22" t="s">
        <v>1113</v>
      </c>
    </row>
    <row r="674" spans="1:14">
      <c r="A674" s="335">
        <v>667</v>
      </c>
      <c r="B674" s="39">
        <f t="shared" si="60"/>
        <v>394</v>
      </c>
      <c r="C674" s="39">
        <f t="shared" si="61"/>
        <v>454</v>
      </c>
      <c r="F674" s="41" t="s">
        <v>2396</v>
      </c>
      <c r="G674" s="42">
        <v>13</v>
      </c>
      <c r="H674" s="42">
        <v>13</v>
      </c>
      <c r="I674" s="42">
        <v>27.5</v>
      </c>
      <c r="J674" s="42">
        <v>36</v>
      </c>
      <c r="K674" s="42">
        <v>35</v>
      </c>
      <c r="L674" s="42">
        <v>37</v>
      </c>
      <c r="M674" s="22" t="s">
        <v>1230</v>
      </c>
      <c r="N674" s="22" t="s">
        <v>1223</v>
      </c>
    </row>
    <row r="675" spans="1:14">
      <c r="A675" s="335">
        <v>668</v>
      </c>
      <c r="B675" s="39">
        <f t="shared" si="60"/>
        <v>394</v>
      </c>
      <c r="C675" s="39">
        <f t="shared" si="61"/>
        <v>454</v>
      </c>
      <c r="F675" s="41" t="s">
        <v>2397</v>
      </c>
      <c r="G675" s="42">
        <v>13</v>
      </c>
      <c r="H675" s="42">
        <v>16</v>
      </c>
      <c r="I675" s="42">
        <v>27.1</v>
      </c>
      <c r="J675" s="42">
        <v>17</v>
      </c>
      <c r="K675" s="42">
        <v>42</v>
      </c>
      <c r="L675" s="42">
        <v>1</v>
      </c>
      <c r="M675" s="22" t="s">
        <v>1231</v>
      </c>
      <c r="N675" s="22" t="s">
        <v>1232</v>
      </c>
    </row>
    <row r="676" spans="1:14">
      <c r="A676" s="335">
        <v>669</v>
      </c>
      <c r="B676" s="39">
        <f t="shared" si="60"/>
        <v>394</v>
      </c>
      <c r="C676" s="39">
        <f t="shared" si="61"/>
        <v>454</v>
      </c>
      <c r="F676" s="41" t="s">
        <v>2398</v>
      </c>
      <c r="G676" s="42">
        <v>13</v>
      </c>
      <c r="H676" s="42">
        <v>21</v>
      </c>
      <c r="I676" s="42">
        <v>57.7</v>
      </c>
      <c r="J676" s="42">
        <v>-36</v>
      </c>
      <c r="K676" s="42">
        <v>-37</v>
      </c>
      <c r="L676" s="42">
        <v>-49</v>
      </c>
      <c r="M676" s="22" t="s">
        <v>1233</v>
      </c>
      <c r="N676" s="38" t="s">
        <v>1234</v>
      </c>
    </row>
    <row r="677" spans="1:14">
      <c r="A677" s="335">
        <v>670</v>
      </c>
      <c r="B677" s="39">
        <f t="shared" si="60"/>
        <v>394</v>
      </c>
      <c r="C677" s="39">
        <f t="shared" si="61"/>
        <v>454</v>
      </c>
      <c r="F677" s="41" t="s">
        <v>2399</v>
      </c>
      <c r="G677" s="42">
        <v>13</v>
      </c>
      <c r="H677" s="42">
        <v>37</v>
      </c>
      <c r="I677" s="42">
        <v>32.1</v>
      </c>
      <c r="J677" s="42">
        <v>8</v>
      </c>
      <c r="K677" s="42">
        <v>53</v>
      </c>
      <c r="L677" s="42">
        <v>6</v>
      </c>
      <c r="M677" s="22" t="s">
        <v>1235</v>
      </c>
      <c r="N677" s="38" t="s">
        <v>1236</v>
      </c>
    </row>
    <row r="678" spans="1:14">
      <c r="A678" s="335">
        <v>671</v>
      </c>
      <c r="B678" s="39">
        <f t="shared" si="60"/>
        <v>394</v>
      </c>
      <c r="C678" s="39">
        <f t="shared" si="61"/>
        <v>454</v>
      </c>
      <c r="F678" s="41" t="s">
        <v>2400</v>
      </c>
      <c r="G678" s="42">
        <v>13</v>
      </c>
      <c r="H678" s="42">
        <v>39</v>
      </c>
      <c r="I678" s="42">
        <v>56</v>
      </c>
      <c r="J678" s="42">
        <v>-31</v>
      </c>
      <c r="K678" s="42">
        <v>-38</v>
      </c>
      <c r="L678" s="42">
        <v>-24</v>
      </c>
      <c r="M678" s="22" t="s">
        <v>1237</v>
      </c>
      <c r="N678" s="38" t="s">
        <v>1238</v>
      </c>
    </row>
    <row r="679" spans="1:14">
      <c r="A679" s="335">
        <v>672</v>
      </c>
      <c r="B679" s="39">
        <f t="shared" si="60"/>
        <v>394</v>
      </c>
      <c r="C679" s="39">
        <f t="shared" si="61"/>
        <v>454</v>
      </c>
      <c r="F679" s="41" t="s">
        <v>2401</v>
      </c>
      <c r="G679" s="42">
        <v>13</v>
      </c>
      <c r="H679" s="42">
        <v>53</v>
      </c>
      <c r="I679" s="42">
        <v>21.6</v>
      </c>
      <c r="J679" s="42">
        <v>40</v>
      </c>
      <c r="K679" s="42">
        <v>21</v>
      </c>
      <c r="L679" s="42">
        <v>50</v>
      </c>
      <c r="M679" s="22" t="s">
        <v>1239</v>
      </c>
      <c r="N679" s="22" t="s">
        <v>1240</v>
      </c>
    </row>
    <row r="680" spans="1:14">
      <c r="A680" s="335">
        <v>673</v>
      </c>
      <c r="B680" s="39">
        <f t="shared" si="60"/>
        <v>394</v>
      </c>
      <c r="C680" s="39">
        <f t="shared" si="61"/>
        <v>454</v>
      </c>
      <c r="F680" s="41" t="s">
        <v>2402</v>
      </c>
      <c r="G680" s="42">
        <v>13</v>
      </c>
      <c r="H680" s="42">
        <v>53</v>
      </c>
      <c r="I680" s="42">
        <v>26.7</v>
      </c>
      <c r="J680" s="42">
        <v>40</v>
      </c>
      <c r="K680" s="42">
        <v>16</v>
      </c>
      <c r="L680" s="42">
        <v>59</v>
      </c>
      <c r="M680" s="22" t="s">
        <v>1241</v>
      </c>
      <c r="N680" s="22" t="s">
        <v>1242</v>
      </c>
    </row>
    <row r="681" spans="1:14">
      <c r="A681" s="335">
        <v>674</v>
      </c>
      <c r="B681" s="39">
        <f t="shared" si="60"/>
        <v>394</v>
      </c>
      <c r="C681" s="39">
        <f t="shared" si="61"/>
        <v>454</v>
      </c>
      <c r="F681" s="41" t="s">
        <v>2403</v>
      </c>
      <c r="G681" s="42">
        <v>13</v>
      </c>
      <c r="H681" s="42">
        <v>53</v>
      </c>
      <c r="I681" s="42">
        <v>26.7</v>
      </c>
      <c r="J681" s="42">
        <v>40</v>
      </c>
      <c r="K681" s="42">
        <v>18</v>
      </c>
      <c r="L681" s="42">
        <v>10</v>
      </c>
      <c r="M681" s="22" t="s">
        <v>1241</v>
      </c>
      <c r="N681" s="22" t="s">
        <v>1242</v>
      </c>
    </row>
    <row r="682" spans="1:14">
      <c r="A682" s="335">
        <v>675</v>
      </c>
      <c r="B682" s="39">
        <f t="shared" si="60"/>
        <v>394</v>
      </c>
      <c r="C682" s="39">
        <f t="shared" si="61"/>
        <v>454</v>
      </c>
      <c r="F682" s="41" t="s">
        <v>2404</v>
      </c>
      <c r="G682" s="42">
        <v>13</v>
      </c>
      <c r="H682" s="42">
        <v>56</v>
      </c>
      <c r="I682" s="42">
        <v>7.2</v>
      </c>
      <c r="J682" s="42">
        <v>5</v>
      </c>
      <c r="K682" s="42">
        <v>15</v>
      </c>
      <c r="L682" s="42">
        <v>14</v>
      </c>
      <c r="M682" s="22" t="s">
        <v>1243</v>
      </c>
      <c r="N682" s="38" t="s">
        <v>1244</v>
      </c>
    </row>
    <row r="683" spans="1:14">
      <c r="A683" s="335">
        <v>676</v>
      </c>
      <c r="B683" s="39">
        <f t="shared" si="60"/>
        <v>394</v>
      </c>
      <c r="C683" s="39">
        <f t="shared" si="61"/>
        <v>454</v>
      </c>
      <c r="F683" s="41" t="s">
        <v>2405</v>
      </c>
      <c r="G683" s="42">
        <v>13</v>
      </c>
      <c r="H683" s="42">
        <v>56</v>
      </c>
      <c r="I683" s="42">
        <v>12</v>
      </c>
      <c r="J683" s="42">
        <v>5</v>
      </c>
      <c r="K683" s="42">
        <v>0</v>
      </c>
      <c r="L683" s="42">
        <v>52</v>
      </c>
      <c r="M683" s="22" t="s">
        <v>1245</v>
      </c>
      <c r="N683" s="38" t="s">
        <v>1244</v>
      </c>
    </row>
    <row r="684" spans="1:14">
      <c r="A684" s="335">
        <v>677</v>
      </c>
      <c r="B684" s="39">
        <f t="shared" si="60"/>
        <v>394</v>
      </c>
      <c r="C684" s="39">
        <f t="shared" si="61"/>
        <v>454</v>
      </c>
      <c r="F684" s="41" t="s">
        <v>2406</v>
      </c>
      <c r="G684" s="42">
        <v>13</v>
      </c>
      <c r="H684" s="42">
        <v>55</v>
      </c>
      <c r="I684" s="42">
        <v>40</v>
      </c>
      <c r="J684" s="42">
        <v>40</v>
      </c>
      <c r="K684" s="42">
        <v>27</v>
      </c>
      <c r="L684" s="42">
        <v>42</v>
      </c>
      <c r="M684" s="22" t="s">
        <v>1246</v>
      </c>
      <c r="N684" s="22" t="s">
        <v>1247</v>
      </c>
    </row>
    <row r="685" spans="1:14">
      <c r="A685" s="335">
        <v>678</v>
      </c>
      <c r="B685" s="39">
        <f t="shared" si="60"/>
        <v>394</v>
      </c>
      <c r="C685" s="39">
        <f t="shared" si="61"/>
        <v>454</v>
      </c>
      <c r="F685" s="41" t="s">
        <v>2407</v>
      </c>
      <c r="G685" s="42">
        <v>14</v>
      </c>
      <c r="H685" s="42">
        <v>5</v>
      </c>
      <c r="I685" s="42">
        <v>27.3</v>
      </c>
      <c r="J685" s="42">
        <v>28</v>
      </c>
      <c r="K685" s="42">
        <v>32</v>
      </c>
      <c r="L685" s="42">
        <v>4</v>
      </c>
      <c r="M685" s="22" t="s">
        <v>1248</v>
      </c>
      <c r="N685" s="22" t="s">
        <v>1073</v>
      </c>
    </row>
    <row r="686" spans="1:14">
      <c r="A686" s="335">
        <v>679</v>
      </c>
      <c r="B686" s="39">
        <f t="shared" si="60"/>
        <v>394</v>
      </c>
      <c r="C686" s="39">
        <f t="shared" si="61"/>
        <v>454</v>
      </c>
      <c r="F686" s="41" t="s">
        <v>2408</v>
      </c>
      <c r="G686" s="42">
        <v>14</v>
      </c>
      <c r="H686" s="42">
        <v>5</v>
      </c>
      <c r="I686" s="42">
        <v>1.6</v>
      </c>
      <c r="J686" s="42">
        <v>53</v>
      </c>
      <c r="K686" s="42">
        <v>39</v>
      </c>
      <c r="L686" s="42">
        <v>44</v>
      </c>
      <c r="M686" s="22" t="s">
        <v>1249</v>
      </c>
      <c r="N686" s="22" t="s">
        <v>1250</v>
      </c>
    </row>
    <row r="687" spans="1:14">
      <c r="A687" s="335">
        <v>680</v>
      </c>
      <c r="B687" s="39">
        <f t="shared" si="60"/>
        <v>394</v>
      </c>
      <c r="C687" s="39">
        <f t="shared" si="61"/>
        <v>454</v>
      </c>
      <c r="F687" s="41" t="s">
        <v>2409</v>
      </c>
      <c r="G687" s="42">
        <v>14</v>
      </c>
      <c r="H687" s="42">
        <v>20</v>
      </c>
      <c r="I687" s="42">
        <v>19.899999999999999</v>
      </c>
      <c r="J687" s="42">
        <v>3</v>
      </c>
      <c r="K687" s="42">
        <v>56</v>
      </c>
      <c r="L687" s="42">
        <v>1</v>
      </c>
      <c r="M687" s="22" t="s">
        <v>1251</v>
      </c>
      <c r="N687" s="38" t="s">
        <v>1252</v>
      </c>
    </row>
    <row r="688" spans="1:14">
      <c r="A688" s="335">
        <v>681</v>
      </c>
      <c r="B688" s="39">
        <f t="shared" si="60"/>
        <v>394</v>
      </c>
      <c r="C688" s="39">
        <f t="shared" si="61"/>
        <v>454</v>
      </c>
      <c r="F688" s="41" t="s">
        <v>2410</v>
      </c>
      <c r="G688" s="42">
        <v>14</v>
      </c>
      <c r="H688" s="42">
        <v>29</v>
      </c>
      <c r="I688" s="42">
        <v>37.299999999999997</v>
      </c>
      <c r="J688" s="42">
        <v>-5</v>
      </c>
      <c r="K688" s="42">
        <v>-58</v>
      </c>
      <c r="L688" s="42">
        <v>-35</v>
      </c>
      <c r="M688" s="22" t="s">
        <v>1253</v>
      </c>
      <c r="N688" s="38" t="s">
        <v>1254</v>
      </c>
    </row>
    <row r="689" spans="1:14">
      <c r="A689" s="335">
        <v>682</v>
      </c>
      <c r="B689" s="39">
        <f t="shared" si="60"/>
        <v>394</v>
      </c>
      <c r="C689" s="39">
        <f t="shared" si="61"/>
        <v>454</v>
      </c>
      <c r="F689" s="41" t="s">
        <v>2411</v>
      </c>
      <c r="G689" s="42">
        <v>14</v>
      </c>
      <c r="H689" s="42">
        <v>39</v>
      </c>
      <c r="I689" s="42">
        <v>36.5</v>
      </c>
      <c r="J689" s="42">
        <v>-26</v>
      </c>
      <c r="K689" s="42">
        <v>-32</v>
      </c>
      <c r="L689" s="42">
        <v>-18</v>
      </c>
      <c r="M689" s="22" t="s">
        <v>1255</v>
      </c>
      <c r="N689" s="38" t="s">
        <v>1256</v>
      </c>
    </row>
    <row r="690" spans="1:14">
      <c r="A690" s="335">
        <v>683</v>
      </c>
      <c r="B690" s="39">
        <f t="shared" si="60"/>
        <v>394</v>
      </c>
      <c r="C690" s="39">
        <f t="shared" si="61"/>
        <v>454</v>
      </c>
      <c r="F690" s="41" t="s">
        <v>2412</v>
      </c>
      <c r="G690" s="42">
        <v>14</v>
      </c>
      <c r="H690" s="42">
        <v>44</v>
      </c>
      <c r="I690" s="42">
        <v>56</v>
      </c>
      <c r="J690" s="42">
        <v>1</v>
      </c>
      <c r="K690" s="42">
        <v>57</v>
      </c>
      <c r="L690" s="42">
        <v>17</v>
      </c>
      <c r="M690" s="22" t="s">
        <v>1257</v>
      </c>
      <c r="N690" s="38" t="s">
        <v>1258</v>
      </c>
    </row>
    <row r="691" spans="1:14">
      <c r="A691" s="335">
        <v>684</v>
      </c>
      <c r="B691" s="39">
        <f t="shared" si="60"/>
        <v>394</v>
      </c>
      <c r="C691" s="39">
        <f t="shared" si="61"/>
        <v>454</v>
      </c>
      <c r="F691" s="41" t="s">
        <v>2413</v>
      </c>
      <c r="G691" s="42">
        <v>15</v>
      </c>
      <c r="H691" s="42">
        <v>1</v>
      </c>
      <c r="I691" s="42">
        <v>11.3</v>
      </c>
      <c r="J691" s="42">
        <v>1</v>
      </c>
      <c r="K691" s="42">
        <v>42</v>
      </c>
      <c r="L691" s="42">
        <v>8</v>
      </c>
      <c r="M691" s="22" t="s">
        <v>1259</v>
      </c>
      <c r="N691" s="38" t="s">
        <v>1260</v>
      </c>
    </row>
    <row r="692" spans="1:14">
      <c r="A692" s="335">
        <v>685</v>
      </c>
      <c r="B692" s="39">
        <f t="shared" si="60"/>
        <v>394</v>
      </c>
      <c r="C692" s="39">
        <f t="shared" si="61"/>
        <v>454</v>
      </c>
      <c r="F692" s="41" t="s">
        <v>2414</v>
      </c>
      <c r="G692" s="42">
        <v>15</v>
      </c>
      <c r="H692" s="42">
        <v>3</v>
      </c>
      <c r="I692" s="42">
        <v>58.6</v>
      </c>
      <c r="J692" s="42">
        <v>-33</v>
      </c>
      <c r="K692" s="42">
        <v>-4</v>
      </c>
      <c r="L692" s="42">
        <v>-7</v>
      </c>
      <c r="M692" s="22" t="s">
        <v>1261</v>
      </c>
      <c r="N692" s="38" t="s">
        <v>1262</v>
      </c>
    </row>
    <row r="693" spans="1:14">
      <c r="A693" s="335">
        <v>686</v>
      </c>
      <c r="B693" s="39">
        <f t="shared" si="60"/>
        <v>394</v>
      </c>
      <c r="C693" s="39">
        <f t="shared" si="61"/>
        <v>454</v>
      </c>
      <c r="F693" s="41" t="s">
        <v>2415</v>
      </c>
      <c r="G693" s="42">
        <v>15</v>
      </c>
      <c r="H693" s="42">
        <v>6</v>
      </c>
      <c r="I693" s="42">
        <v>29.2</v>
      </c>
      <c r="J693" s="42">
        <v>1</v>
      </c>
      <c r="K693" s="42">
        <v>36</v>
      </c>
      <c r="L693" s="42">
        <v>20</v>
      </c>
      <c r="M693" s="22" t="s">
        <v>1263</v>
      </c>
      <c r="N693" s="38" t="s">
        <v>1073</v>
      </c>
    </row>
    <row r="694" spans="1:14">
      <c r="A694" s="335">
        <v>687</v>
      </c>
      <c r="B694" s="39">
        <f t="shared" si="60"/>
        <v>394</v>
      </c>
      <c r="C694" s="39">
        <f t="shared" si="61"/>
        <v>454</v>
      </c>
      <c r="F694" s="41" t="s">
        <v>2416</v>
      </c>
      <c r="G694" s="42">
        <v>15</v>
      </c>
      <c r="H694" s="42">
        <v>7</v>
      </c>
      <c r="I694" s="42">
        <v>7.7</v>
      </c>
      <c r="J694" s="42">
        <v>1</v>
      </c>
      <c r="K694" s="42">
        <v>32</v>
      </c>
      <c r="L694" s="42">
        <v>39</v>
      </c>
      <c r="M694" s="22" t="s">
        <v>1264</v>
      </c>
      <c r="N694" s="38" t="s">
        <v>1073</v>
      </c>
    </row>
    <row r="695" spans="1:14">
      <c r="A695" s="335">
        <v>688</v>
      </c>
      <c r="B695" s="39">
        <f t="shared" si="60"/>
        <v>394</v>
      </c>
      <c r="C695" s="39">
        <f t="shared" si="61"/>
        <v>454</v>
      </c>
      <c r="F695" s="41" t="s">
        <v>2417</v>
      </c>
      <c r="G695" s="42">
        <v>15</v>
      </c>
      <c r="H695" s="42">
        <v>6</v>
      </c>
      <c r="I695" s="42">
        <v>29.6</v>
      </c>
      <c r="J695" s="42">
        <v>55</v>
      </c>
      <c r="K695" s="42">
        <v>45</v>
      </c>
      <c r="L695" s="42">
        <v>48</v>
      </c>
      <c r="M695" s="22" t="s">
        <v>1265</v>
      </c>
      <c r="N695" s="22" t="s">
        <v>1266</v>
      </c>
    </row>
    <row r="696" spans="1:14">
      <c r="A696" s="335">
        <v>689</v>
      </c>
      <c r="B696" s="39">
        <f t="shared" si="60"/>
        <v>394</v>
      </c>
      <c r="C696" s="39">
        <f t="shared" si="61"/>
        <v>454</v>
      </c>
      <c r="F696" s="41" t="s">
        <v>2418</v>
      </c>
      <c r="G696" s="42">
        <v>15</v>
      </c>
      <c r="H696" s="42">
        <v>17</v>
      </c>
      <c r="I696" s="42">
        <v>24.4</v>
      </c>
      <c r="J696" s="42">
        <v>-21</v>
      </c>
      <c r="K696" s="42">
        <v>0</v>
      </c>
      <c r="L696" s="42">
        <v>-36</v>
      </c>
      <c r="M696" s="22" t="s">
        <v>1267</v>
      </c>
      <c r="N696" s="38" t="s">
        <v>1268</v>
      </c>
    </row>
    <row r="697" spans="1:14">
      <c r="A697" s="335">
        <v>690</v>
      </c>
      <c r="B697" s="39">
        <f t="shared" si="60"/>
        <v>394</v>
      </c>
      <c r="C697" s="39">
        <f t="shared" si="61"/>
        <v>454</v>
      </c>
      <c r="F697" s="41" t="s">
        <v>2419</v>
      </c>
      <c r="G697" s="42">
        <v>15</v>
      </c>
      <c r="H697" s="42">
        <v>15</v>
      </c>
      <c r="I697" s="42">
        <v>53.7</v>
      </c>
      <c r="J697" s="42">
        <v>56</v>
      </c>
      <c r="K697" s="42">
        <v>19</v>
      </c>
      <c r="L697" s="42">
        <v>44</v>
      </c>
      <c r="M697" s="22" t="s">
        <v>1269</v>
      </c>
      <c r="N697" s="22" t="s">
        <v>1087</v>
      </c>
    </row>
    <row r="698" spans="1:14">
      <c r="A698" s="335">
        <v>691</v>
      </c>
      <c r="B698" s="39">
        <f t="shared" si="60"/>
        <v>394</v>
      </c>
      <c r="C698" s="39">
        <f t="shared" si="61"/>
        <v>454</v>
      </c>
      <c r="F698" s="25" t="s">
        <v>2420</v>
      </c>
      <c r="G698" s="22">
        <v>15</v>
      </c>
      <c r="H698" s="22">
        <v>38</v>
      </c>
      <c r="I698" s="22">
        <v>39.799999999999997</v>
      </c>
      <c r="J698" s="22">
        <v>59</v>
      </c>
      <c r="K698" s="22">
        <v>21</v>
      </c>
      <c r="L698" s="22">
        <v>21</v>
      </c>
      <c r="M698" s="22" t="s">
        <v>1270</v>
      </c>
      <c r="N698" s="22" t="s">
        <v>1073</v>
      </c>
    </row>
    <row r="699" spans="1:14">
      <c r="A699" s="335">
        <v>692</v>
      </c>
      <c r="B699" s="39">
        <f t="shared" si="60"/>
        <v>394</v>
      </c>
      <c r="C699" s="39">
        <f t="shared" si="61"/>
        <v>454</v>
      </c>
      <c r="F699" s="25" t="s">
        <v>2421</v>
      </c>
      <c r="G699" s="22">
        <v>15</v>
      </c>
      <c r="H699" s="22">
        <v>39</v>
      </c>
      <c r="I699" s="22">
        <v>37.1</v>
      </c>
      <c r="J699" s="22">
        <v>59</v>
      </c>
      <c r="K699" s="22">
        <v>19</v>
      </c>
      <c r="L699" s="22">
        <v>55</v>
      </c>
      <c r="M699" s="22" t="s">
        <v>1271</v>
      </c>
      <c r="N699" s="22" t="s">
        <v>1272</v>
      </c>
    </row>
    <row r="700" spans="1:14">
      <c r="A700" s="335">
        <v>693</v>
      </c>
      <c r="B700" s="39">
        <f t="shared" si="60"/>
        <v>394</v>
      </c>
      <c r="C700" s="39">
        <f t="shared" si="61"/>
        <v>454</v>
      </c>
      <c r="F700" s="25" t="s">
        <v>2422</v>
      </c>
      <c r="G700" s="22">
        <v>16</v>
      </c>
      <c r="H700" s="22">
        <v>22</v>
      </c>
      <c r="I700" s="22">
        <v>21</v>
      </c>
      <c r="J700" s="22">
        <v>19</v>
      </c>
      <c r="K700" s="22">
        <v>49</v>
      </c>
      <c r="L700" s="22">
        <v>36</v>
      </c>
      <c r="M700" s="22" t="s">
        <v>1273</v>
      </c>
      <c r="N700" s="22" t="s">
        <v>1274</v>
      </c>
    </row>
    <row r="701" spans="1:14">
      <c r="A701" s="335">
        <v>694</v>
      </c>
      <c r="B701" s="39">
        <f t="shared" si="60"/>
        <v>394</v>
      </c>
      <c r="C701" s="39">
        <f t="shared" si="61"/>
        <v>454</v>
      </c>
      <c r="F701" s="25" t="s">
        <v>2423</v>
      </c>
      <c r="G701" s="22">
        <v>16</v>
      </c>
      <c r="H701" s="22">
        <v>43</v>
      </c>
      <c r="I701" s="22">
        <v>3.7</v>
      </c>
      <c r="J701" s="22">
        <v>36</v>
      </c>
      <c r="K701" s="22">
        <v>49</v>
      </c>
      <c r="L701" s="22">
        <v>57</v>
      </c>
      <c r="M701" s="22" t="s">
        <v>1275</v>
      </c>
      <c r="N701" s="22" t="s">
        <v>1276</v>
      </c>
    </row>
    <row r="702" spans="1:14">
      <c r="A702" s="335">
        <v>695</v>
      </c>
      <c r="B702" s="39">
        <f t="shared" si="60"/>
        <v>394</v>
      </c>
      <c r="C702" s="39">
        <f t="shared" si="61"/>
        <v>454</v>
      </c>
      <c r="F702" s="25" t="s">
        <v>2424</v>
      </c>
      <c r="G702" s="22">
        <v>16</v>
      </c>
      <c r="H702" s="22">
        <v>44</v>
      </c>
      <c r="I702" s="22">
        <v>29.5</v>
      </c>
      <c r="J702" s="22">
        <v>23</v>
      </c>
      <c r="K702" s="22">
        <v>48</v>
      </c>
      <c r="L702" s="22">
        <v>0</v>
      </c>
      <c r="M702" s="22" t="s">
        <v>1277</v>
      </c>
      <c r="N702" s="39" t="s">
        <v>1278</v>
      </c>
    </row>
    <row r="703" spans="1:14">
      <c r="A703" s="335">
        <v>696</v>
      </c>
      <c r="B703" s="39">
        <f t="shared" si="60"/>
        <v>394</v>
      </c>
      <c r="C703" s="39">
        <f t="shared" si="61"/>
        <v>454</v>
      </c>
      <c r="F703" s="25" t="s">
        <v>2425</v>
      </c>
      <c r="G703" s="22">
        <v>16</v>
      </c>
      <c r="H703" s="22">
        <v>46</v>
      </c>
      <c r="I703" s="22">
        <v>58.6</v>
      </c>
      <c r="J703" s="22">
        <v>47</v>
      </c>
      <c r="K703" s="22">
        <v>31</v>
      </c>
      <c r="L703" s="22">
        <v>36</v>
      </c>
      <c r="M703" s="22" t="s">
        <v>1279</v>
      </c>
      <c r="N703" s="22" t="s">
        <v>1280</v>
      </c>
    </row>
    <row r="704" spans="1:14">
      <c r="A704" s="335">
        <v>697</v>
      </c>
      <c r="B704" s="39">
        <f t="shared" si="60"/>
        <v>394</v>
      </c>
      <c r="C704" s="39">
        <f t="shared" si="61"/>
        <v>454</v>
      </c>
      <c r="F704" s="25" t="s">
        <v>2426</v>
      </c>
      <c r="G704" s="22">
        <v>17</v>
      </c>
      <c r="H704" s="22">
        <v>10</v>
      </c>
      <c r="I704" s="22">
        <v>10.4</v>
      </c>
      <c r="J704" s="22">
        <v>-26</v>
      </c>
      <c r="K704" s="22">
        <v>-34</v>
      </c>
      <c r="L704" s="22">
        <v>-54</v>
      </c>
      <c r="M704" s="22" t="s">
        <v>1281</v>
      </c>
      <c r="N704" s="22" t="s">
        <v>1282</v>
      </c>
    </row>
    <row r="705" spans="1:14">
      <c r="A705" s="335">
        <v>698</v>
      </c>
      <c r="B705" s="39">
        <f t="shared" si="60"/>
        <v>394</v>
      </c>
      <c r="C705" s="39">
        <f t="shared" si="61"/>
        <v>454</v>
      </c>
      <c r="F705" s="25" t="s">
        <v>2427</v>
      </c>
      <c r="G705" s="22">
        <v>17</v>
      </c>
      <c r="H705" s="22">
        <v>13</v>
      </c>
      <c r="I705" s="22">
        <v>44.3</v>
      </c>
      <c r="J705" s="22">
        <v>-37</v>
      </c>
      <c r="K705" s="22">
        <v>-6</v>
      </c>
      <c r="L705" s="22">
        <v>-11</v>
      </c>
      <c r="M705" s="22" t="s">
        <v>1283</v>
      </c>
      <c r="N705" s="39" t="s">
        <v>1284</v>
      </c>
    </row>
    <row r="706" spans="1:14">
      <c r="A706" s="335">
        <v>699</v>
      </c>
      <c r="B706" s="39">
        <f t="shared" si="60"/>
        <v>394</v>
      </c>
      <c r="C706" s="39">
        <f t="shared" si="61"/>
        <v>454</v>
      </c>
      <c r="F706" s="25" t="s">
        <v>2428</v>
      </c>
      <c r="G706" s="22">
        <v>17</v>
      </c>
      <c r="H706" s="22">
        <v>14</v>
      </c>
      <c r="I706" s="22">
        <v>32.200000000000003</v>
      </c>
      <c r="J706" s="22">
        <v>-29</v>
      </c>
      <c r="K706" s="22">
        <v>-27</v>
      </c>
      <c r="L706" s="22">
        <v>-43</v>
      </c>
      <c r="M706" s="22" t="s">
        <v>1285</v>
      </c>
      <c r="N706" s="22" t="s">
        <v>1286</v>
      </c>
    </row>
    <row r="707" spans="1:14">
      <c r="A707" s="335">
        <v>700</v>
      </c>
      <c r="B707" s="39">
        <f t="shared" si="60"/>
        <v>394</v>
      </c>
      <c r="C707" s="39">
        <f t="shared" si="61"/>
        <v>454</v>
      </c>
      <c r="F707" s="25" t="s">
        <v>2429</v>
      </c>
      <c r="G707" s="22">
        <v>17</v>
      </c>
      <c r="H707" s="22">
        <v>14</v>
      </c>
      <c r="I707" s="22">
        <v>4.3</v>
      </c>
      <c r="J707" s="22">
        <v>-12</v>
      </c>
      <c r="K707" s="22">
        <v>-54</v>
      </c>
      <c r="L707" s="22">
        <v>-36</v>
      </c>
      <c r="M707" s="22" t="s">
        <v>1287</v>
      </c>
      <c r="N707" s="39" t="s">
        <v>1288</v>
      </c>
    </row>
    <row r="708" spans="1:14">
      <c r="A708" s="335">
        <v>701</v>
      </c>
      <c r="B708" s="39">
        <f t="shared" si="60"/>
        <v>394</v>
      </c>
      <c r="C708" s="39">
        <f t="shared" si="61"/>
        <v>454</v>
      </c>
      <c r="F708" s="25" t="s">
        <v>2430</v>
      </c>
      <c r="G708" s="22">
        <v>17</v>
      </c>
      <c r="H708" s="22">
        <v>16</v>
      </c>
      <c r="I708" s="22">
        <v>37.4</v>
      </c>
      <c r="J708" s="22">
        <v>-28</v>
      </c>
      <c r="K708" s="22">
        <v>-8</v>
      </c>
      <c r="L708" s="22">
        <v>-24</v>
      </c>
      <c r="M708" s="22" t="s">
        <v>1289</v>
      </c>
      <c r="N708" s="22" t="s">
        <v>1290</v>
      </c>
    </row>
    <row r="709" spans="1:14">
      <c r="A709" s="335">
        <v>702</v>
      </c>
      <c r="B709" s="39">
        <f t="shared" si="60"/>
        <v>394</v>
      </c>
      <c r="C709" s="39">
        <f t="shared" si="61"/>
        <v>454</v>
      </c>
      <c r="F709" s="25" t="s">
        <v>2431</v>
      </c>
      <c r="G709" s="22">
        <v>17</v>
      </c>
      <c r="H709" s="22">
        <v>23</v>
      </c>
      <c r="I709" s="22">
        <v>35</v>
      </c>
      <c r="J709" s="22">
        <v>-17</v>
      </c>
      <c r="K709" s="22">
        <v>-48</v>
      </c>
      <c r="L709" s="22">
        <v>-47</v>
      </c>
      <c r="M709" s="22" t="s">
        <v>1291</v>
      </c>
      <c r="N709" s="22" t="s">
        <v>1292</v>
      </c>
    </row>
    <row r="710" spans="1:14">
      <c r="A710" s="335">
        <v>703</v>
      </c>
      <c r="B710" s="39">
        <f t="shared" ref="B710:B773" si="62">IF(B709=F710,A710,B709)</f>
        <v>394</v>
      </c>
      <c r="C710" s="39">
        <f t="shared" ref="C710:C773" si="63" xml:space="preserve"> IF(C709=F710,A710,C709)</f>
        <v>454</v>
      </c>
      <c r="F710" s="25" t="s">
        <v>2432</v>
      </c>
      <c r="G710" s="22">
        <v>17</v>
      </c>
      <c r="H710" s="22">
        <v>27</v>
      </c>
      <c r="I710" s="22">
        <v>44.2</v>
      </c>
      <c r="J710" s="22">
        <v>-5</v>
      </c>
      <c r="K710" s="22">
        <v>-4</v>
      </c>
      <c r="L710" s="22">
        <v>-47</v>
      </c>
      <c r="M710" s="22" t="s">
        <v>1293</v>
      </c>
      <c r="N710" s="22" t="s">
        <v>1294</v>
      </c>
    </row>
    <row r="711" spans="1:14">
      <c r="A711" s="335">
        <v>704</v>
      </c>
      <c r="B711" s="39">
        <f t="shared" si="62"/>
        <v>394</v>
      </c>
      <c r="C711" s="39">
        <f t="shared" si="63"/>
        <v>454</v>
      </c>
      <c r="F711" s="25" t="s">
        <v>2433</v>
      </c>
      <c r="G711" s="22">
        <v>17</v>
      </c>
      <c r="H711" s="22">
        <v>29</v>
      </c>
      <c r="I711" s="22">
        <v>20.399999999999999</v>
      </c>
      <c r="J711" s="22">
        <v>-23</v>
      </c>
      <c r="K711" s="22">
        <v>-45</v>
      </c>
      <c r="L711" s="22">
        <v>-35</v>
      </c>
      <c r="M711" s="22" t="s">
        <v>1295</v>
      </c>
      <c r="N711" s="39" t="s">
        <v>1296</v>
      </c>
    </row>
    <row r="712" spans="1:14">
      <c r="A712" s="335">
        <v>705</v>
      </c>
      <c r="B712" s="39">
        <f t="shared" si="62"/>
        <v>394</v>
      </c>
      <c r="C712" s="39">
        <f t="shared" si="63"/>
        <v>454</v>
      </c>
      <c r="F712" s="25" t="s">
        <v>2434</v>
      </c>
      <c r="G712" s="22">
        <v>17</v>
      </c>
      <c r="H712" s="22">
        <v>34</v>
      </c>
      <c r="I712" s="22">
        <v>48</v>
      </c>
      <c r="J712" s="22">
        <v>-32</v>
      </c>
      <c r="K712" s="22">
        <v>-34</v>
      </c>
      <c r="L712" s="22">
        <v>0</v>
      </c>
      <c r="M712" s="22" t="s">
        <v>1297</v>
      </c>
      <c r="N712" s="22" t="s">
        <v>1298</v>
      </c>
    </row>
    <row r="713" spans="1:14">
      <c r="A713" s="335">
        <v>706</v>
      </c>
      <c r="B713" s="39">
        <f t="shared" si="62"/>
        <v>394</v>
      </c>
      <c r="C713" s="39">
        <f t="shared" si="63"/>
        <v>454</v>
      </c>
      <c r="F713" s="25" t="s">
        <v>2435</v>
      </c>
      <c r="G713" s="22">
        <v>17</v>
      </c>
      <c r="H713" s="22">
        <v>34</v>
      </c>
      <c r="I713" s="22">
        <v>48</v>
      </c>
      <c r="J713" s="22">
        <v>-32</v>
      </c>
      <c r="K713" s="22">
        <v>-34</v>
      </c>
      <c r="L713" s="22">
        <v>0</v>
      </c>
      <c r="M713" s="22" t="s">
        <v>1299</v>
      </c>
      <c r="N713" s="22" t="s">
        <v>1298</v>
      </c>
    </row>
    <row r="714" spans="1:14">
      <c r="A714" s="335">
        <v>707</v>
      </c>
      <c r="B714" s="39">
        <f t="shared" si="62"/>
        <v>394</v>
      </c>
      <c r="C714" s="39">
        <f t="shared" si="63"/>
        <v>454</v>
      </c>
      <c r="F714" s="25" t="s">
        <v>2436</v>
      </c>
      <c r="G714" s="22">
        <v>17</v>
      </c>
      <c r="H714" s="22">
        <v>32</v>
      </c>
      <c r="I714" s="22">
        <v>24.3</v>
      </c>
      <c r="J714" s="22">
        <v>7</v>
      </c>
      <c r="K714" s="22">
        <v>3</v>
      </c>
      <c r="L714" s="22">
        <v>39</v>
      </c>
      <c r="M714" s="22" t="s">
        <v>1300</v>
      </c>
      <c r="N714" s="22" t="s">
        <v>1301</v>
      </c>
    </row>
    <row r="715" spans="1:14">
      <c r="A715" s="335">
        <v>708</v>
      </c>
      <c r="B715" s="39">
        <f t="shared" si="62"/>
        <v>394</v>
      </c>
      <c r="C715" s="39">
        <f t="shared" si="63"/>
        <v>454</v>
      </c>
      <c r="F715" s="41" t="s">
        <v>3863</v>
      </c>
      <c r="G715" s="22">
        <v>17</v>
      </c>
      <c r="H715" s="22">
        <v>48</v>
      </c>
      <c r="I715" s="22">
        <v>52.7</v>
      </c>
      <c r="J715" s="22">
        <v>-20</v>
      </c>
      <c r="K715" s="22">
        <v>-21</v>
      </c>
      <c r="L715" s="22">
        <v>-35</v>
      </c>
      <c r="M715" s="22" t="s">
        <v>3963</v>
      </c>
      <c r="N715" s="22" t="s">
        <v>3865</v>
      </c>
    </row>
    <row r="716" spans="1:14">
      <c r="A716" s="335">
        <v>709</v>
      </c>
      <c r="B716" s="39">
        <f t="shared" si="62"/>
        <v>394</v>
      </c>
      <c r="C716" s="39">
        <f t="shared" si="63"/>
        <v>454</v>
      </c>
      <c r="F716" s="41" t="s">
        <v>3862</v>
      </c>
      <c r="G716" s="22">
        <v>17</v>
      </c>
      <c r="H716" s="22">
        <v>49</v>
      </c>
      <c r="I716" s="22">
        <v>15.2</v>
      </c>
      <c r="J716" s="22">
        <v>-20</v>
      </c>
      <c r="K716" s="22">
        <v>0</v>
      </c>
      <c r="L716" s="22">
        <v>-35</v>
      </c>
      <c r="M716" s="22" t="s">
        <v>3864</v>
      </c>
      <c r="N716" s="22" t="s">
        <v>301</v>
      </c>
    </row>
    <row r="717" spans="1:14">
      <c r="A717" s="335">
        <v>710</v>
      </c>
      <c r="B717" s="39">
        <f t="shared" si="62"/>
        <v>394</v>
      </c>
      <c r="C717" s="39">
        <f t="shared" si="63"/>
        <v>454</v>
      </c>
      <c r="F717" s="25" t="s">
        <v>2437</v>
      </c>
      <c r="G717" s="22">
        <v>17</v>
      </c>
      <c r="H717" s="22">
        <v>49</v>
      </c>
      <c r="I717" s="22">
        <v>26.5</v>
      </c>
      <c r="J717" s="22">
        <v>70</v>
      </c>
      <c r="K717" s="22">
        <v>8</v>
      </c>
      <c r="L717" s="22">
        <v>40</v>
      </c>
      <c r="M717" s="22" t="s">
        <v>1302</v>
      </c>
      <c r="N717" s="22" t="s">
        <v>1303</v>
      </c>
    </row>
    <row r="718" spans="1:14">
      <c r="A718" s="335">
        <v>711</v>
      </c>
      <c r="B718" s="39">
        <f t="shared" si="62"/>
        <v>394</v>
      </c>
      <c r="C718" s="39">
        <f t="shared" si="63"/>
        <v>454</v>
      </c>
      <c r="F718" s="25" t="s">
        <v>2438</v>
      </c>
      <c r="G718" s="22">
        <v>18</v>
      </c>
      <c r="H718" s="22">
        <v>4</v>
      </c>
      <c r="I718" s="22">
        <v>48.7</v>
      </c>
      <c r="J718" s="22">
        <v>-7</v>
      </c>
      <c r="K718" s="22">
        <v>-35</v>
      </c>
      <c r="L718" s="22">
        <v>-9</v>
      </c>
      <c r="M718" s="22" t="s">
        <v>1304</v>
      </c>
      <c r="N718" s="22" t="s">
        <v>1305</v>
      </c>
    </row>
    <row r="719" spans="1:14">
      <c r="A719" s="335">
        <v>712</v>
      </c>
      <c r="B719" s="39">
        <f t="shared" si="62"/>
        <v>394</v>
      </c>
      <c r="C719" s="39">
        <f t="shared" si="63"/>
        <v>454</v>
      </c>
      <c r="F719" s="25" t="s">
        <v>2439</v>
      </c>
      <c r="G719" s="22">
        <v>17</v>
      </c>
      <c r="H719" s="22">
        <v>58</v>
      </c>
      <c r="I719" s="22">
        <v>33.4</v>
      </c>
      <c r="J719" s="22">
        <v>66</v>
      </c>
      <c r="K719" s="22">
        <v>38</v>
      </c>
      <c r="L719" s="22">
        <v>0</v>
      </c>
      <c r="M719" s="22" t="s">
        <v>1306</v>
      </c>
      <c r="N719" s="22" t="s">
        <v>1307</v>
      </c>
    </row>
    <row r="720" spans="1:14">
      <c r="A720" s="335">
        <v>713</v>
      </c>
      <c r="B720" s="39">
        <f t="shared" si="62"/>
        <v>394</v>
      </c>
      <c r="C720" s="39">
        <f t="shared" si="63"/>
        <v>454</v>
      </c>
      <c r="F720" s="25" t="s">
        <v>2440</v>
      </c>
      <c r="G720" s="22">
        <v>18</v>
      </c>
      <c r="H720" s="22">
        <v>12</v>
      </c>
      <c r="I720" s="22">
        <v>6.4</v>
      </c>
      <c r="J720" s="22">
        <v>6</v>
      </c>
      <c r="K720" s="22">
        <v>51</v>
      </c>
      <c r="L720" s="22">
        <v>13</v>
      </c>
      <c r="M720" s="22" t="s">
        <v>1308</v>
      </c>
      <c r="N720" s="39" t="s">
        <v>1278</v>
      </c>
    </row>
    <row r="721" spans="1:14">
      <c r="A721" s="335">
        <v>714</v>
      </c>
      <c r="B721" s="39">
        <f t="shared" si="62"/>
        <v>394</v>
      </c>
      <c r="C721" s="39">
        <f t="shared" si="63"/>
        <v>454</v>
      </c>
      <c r="F721" s="25" t="s">
        <v>2441</v>
      </c>
      <c r="G721" s="22">
        <v>18</v>
      </c>
      <c r="H721" s="22">
        <v>23</v>
      </c>
      <c r="I721" s="22">
        <v>40.5</v>
      </c>
      <c r="J721" s="22">
        <v>-30</v>
      </c>
      <c r="K721" s="22">
        <v>-21</v>
      </c>
      <c r="L721" s="22">
        <v>-40</v>
      </c>
      <c r="M721" s="22" t="s">
        <v>1309</v>
      </c>
      <c r="N721" s="22" t="s">
        <v>1310</v>
      </c>
    </row>
    <row r="722" spans="1:14">
      <c r="A722" s="335">
        <v>715</v>
      </c>
      <c r="B722" s="39">
        <f t="shared" si="62"/>
        <v>394</v>
      </c>
      <c r="C722" s="39">
        <f t="shared" si="63"/>
        <v>454</v>
      </c>
      <c r="F722" s="25" t="s">
        <v>2442</v>
      </c>
      <c r="G722" s="22">
        <v>18</v>
      </c>
      <c r="H722" s="22">
        <v>35</v>
      </c>
      <c r="I722" s="22">
        <v>45.6</v>
      </c>
      <c r="J722" s="22">
        <v>-32</v>
      </c>
      <c r="K722" s="22">
        <v>-59</v>
      </c>
      <c r="L722" s="22">
        <v>-27</v>
      </c>
      <c r="M722" s="22" t="s">
        <v>1311</v>
      </c>
      <c r="N722" s="22" t="s">
        <v>1312</v>
      </c>
    </row>
    <row r="723" spans="1:14">
      <c r="A723" s="335">
        <v>716</v>
      </c>
      <c r="B723" s="39">
        <f t="shared" si="62"/>
        <v>394</v>
      </c>
      <c r="C723" s="39">
        <f t="shared" si="63"/>
        <v>454</v>
      </c>
      <c r="F723" s="25" t="s">
        <v>2443</v>
      </c>
      <c r="G723" s="22">
        <v>18</v>
      </c>
      <c r="H723" s="22">
        <v>53</v>
      </c>
      <c r="I723" s="22">
        <v>4.3</v>
      </c>
      <c r="J723" s="22">
        <v>-8</v>
      </c>
      <c r="K723" s="22">
        <v>-42</v>
      </c>
      <c r="L723" s="22">
        <v>-21</v>
      </c>
      <c r="M723" s="22" t="s">
        <v>1313</v>
      </c>
      <c r="N723" s="22" t="s">
        <v>1314</v>
      </c>
    </row>
    <row r="724" spans="1:14">
      <c r="A724" s="335">
        <v>717</v>
      </c>
      <c r="B724" s="39">
        <f t="shared" si="62"/>
        <v>394</v>
      </c>
      <c r="C724" s="39">
        <f t="shared" si="63"/>
        <v>454</v>
      </c>
      <c r="F724" s="25" t="s">
        <v>2444</v>
      </c>
      <c r="G724" s="22">
        <v>19</v>
      </c>
      <c r="H724" s="22">
        <v>7</v>
      </c>
      <c r="I724" s="22">
        <v>49</v>
      </c>
      <c r="J724" s="22">
        <v>4</v>
      </c>
      <c r="K724" s="22">
        <v>16</v>
      </c>
      <c r="L724" s="22">
        <v>0</v>
      </c>
      <c r="M724" s="22" t="s">
        <v>1315</v>
      </c>
      <c r="N724" s="22" t="s">
        <v>1316</v>
      </c>
    </row>
    <row r="725" spans="1:14">
      <c r="A725" s="335">
        <v>718</v>
      </c>
      <c r="B725" s="39">
        <f t="shared" si="62"/>
        <v>394</v>
      </c>
      <c r="C725" s="39">
        <f t="shared" si="63"/>
        <v>454</v>
      </c>
      <c r="F725" s="25" t="s">
        <v>2445</v>
      </c>
      <c r="G725" s="22">
        <v>19</v>
      </c>
      <c r="H725" s="22">
        <v>11</v>
      </c>
      <c r="I725" s="22">
        <v>12</v>
      </c>
      <c r="J725" s="22">
        <v>1</v>
      </c>
      <c r="K725" s="22">
        <v>1</v>
      </c>
      <c r="L725" s="22">
        <v>50</v>
      </c>
      <c r="M725" s="22" t="s">
        <v>1317</v>
      </c>
      <c r="N725" s="22"/>
    </row>
    <row r="726" spans="1:14">
      <c r="A726" s="335">
        <v>719</v>
      </c>
      <c r="B726" s="39">
        <f t="shared" si="62"/>
        <v>394</v>
      </c>
      <c r="C726" s="39">
        <f t="shared" si="63"/>
        <v>454</v>
      </c>
      <c r="F726" s="25" t="s">
        <v>2446</v>
      </c>
      <c r="G726" s="22">
        <v>19</v>
      </c>
      <c r="H726" s="22">
        <v>18</v>
      </c>
      <c r="I726" s="22">
        <v>28.1</v>
      </c>
      <c r="J726" s="22">
        <v>6</v>
      </c>
      <c r="K726" s="22">
        <v>32</v>
      </c>
      <c r="L726" s="22">
        <v>19</v>
      </c>
      <c r="M726" s="22" t="s">
        <v>1318</v>
      </c>
      <c r="N726" s="22" t="s">
        <v>3887</v>
      </c>
    </row>
    <row r="727" spans="1:14">
      <c r="A727" s="335">
        <v>720</v>
      </c>
      <c r="B727" s="39">
        <f t="shared" si="62"/>
        <v>394</v>
      </c>
      <c r="C727" s="39">
        <f t="shared" si="63"/>
        <v>454</v>
      </c>
      <c r="F727" s="25" t="s">
        <v>2447</v>
      </c>
      <c r="G727" s="22">
        <v>19</v>
      </c>
      <c r="H727" s="22">
        <v>22</v>
      </c>
      <c r="I727" s="22">
        <v>57</v>
      </c>
      <c r="J727" s="22">
        <v>1</v>
      </c>
      <c r="K727" s="22">
        <v>30</v>
      </c>
      <c r="L727" s="22">
        <v>46</v>
      </c>
      <c r="M727" s="22" t="s">
        <v>1319</v>
      </c>
      <c r="N727" s="22" t="s">
        <v>3886</v>
      </c>
    </row>
    <row r="728" spans="1:14">
      <c r="A728" s="335">
        <v>721</v>
      </c>
      <c r="B728" s="39">
        <f t="shared" si="62"/>
        <v>394</v>
      </c>
      <c r="C728" s="39">
        <f t="shared" si="63"/>
        <v>454</v>
      </c>
      <c r="F728" s="25" t="s">
        <v>2448</v>
      </c>
      <c r="G728" s="22">
        <v>19</v>
      </c>
      <c r="H728" s="22">
        <v>20</v>
      </c>
      <c r="I728" s="22">
        <v>53</v>
      </c>
      <c r="J728" s="22">
        <v>37</v>
      </c>
      <c r="K728" s="22">
        <v>46</v>
      </c>
      <c r="L728" s="22">
        <v>1</v>
      </c>
      <c r="M728" s="22" t="s">
        <v>1320</v>
      </c>
      <c r="N728" s="22" t="s">
        <v>1321</v>
      </c>
    </row>
    <row r="729" spans="1:14">
      <c r="A729" s="335">
        <v>722</v>
      </c>
      <c r="B729" s="39">
        <f t="shared" si="62"/>
        <v>394</v>
      </c>
      <c r="C729" s="39">
        <f t="shared" si="63"/>
        <v>454</v>
      </c>
      <c r="F729" s="25" t="s">
        <v>2449</v>
      </c>
      <c r="G729" s="22">
        <v>19</v>
      </c>
      <c r="H729" s="22">
        <v>43</v>
      </c>
      <c r="I729" s="22">
        <v>58</v>
      </c>
      <c r="J729" s="22">
        <v>-14</v>
      </c>
      <c r="K729" s="22">
        <v>-9</v>
      </c>
      <c r="L729" s="22">
        <v>-13</v>
      </c>
      <c r="M729" s="22" t="s">
        <v>1322</v>
      </c>
      <c r="N729" s="22" t="s">
        <v>1323</v>
      </c>
    </row>
    <row r="730" spans="1:14">
      <c r="A730" s="335">
        <v>723</v>
      </c>
      <c r="B730" s="39">
        <f t="shared" si="62"/>
        <v>394</v>
      </c>
      <c r="C730" s="39">
        <f t="shared" si="63"/>
        <v>454</v>
      </c>
      <c r="F730" s="25" t="s">
        <v>2450</v>
      </c>
      <c r="G730" s="22">
        <v>19</v>
      </c>
      <c r="H730" s="22">
        <v>44</v>
      </c>
      <c r="I730" s="22">
        <v>56.2</v>
      </c>
      <c r="J730" s="22">
        <v>-14</v>
      </c>
      <c r="K730" s="22">
        <v>-47</v>
      </c>
      <c r="L730" s="22">
        <v>-51</v>
      </c>
      <c r="M730" s="22" t="s">
        <v>1324</v>
      </c>
      <c r="N730" s="22" t="s">
        <v>1325</v>
      </c>
    </row>
    <row r="731" spans="1:14">
      <c r="A731" s="335">
        <v>724</v>
      </c>
      <c r="B731" s="39">
        <f t="shared" si="62"/>
        <v>394</v>
      </c>
      <c r="C731" s="39">
        <f t="shared" si="63"/>
        <v>454</v>
      </c>
      <c r="F731" s="25" t="s">
        <v>2451</v>
      </c>
      <c r="G731" s="22">
        <v>19</v>
      </c>
      <c r="H731" s="22">
        <v>44</v>
      </c>
      <c r="I731" s="22">
        <v>48.1</v>
      </c>
      <c r="J731" s="22">
        <v>50</v>
      </c>
      <c r="K731" s="22">
        <v>31</v>
      </c>
      <c r="L731" s="22">
        <v>30</v>
      </c>
      <c r="M731" s="22" t="s">
        <v>1326</v>
      </c>
      <c r="N731" s="39" t="s">
        <v>1327</v>
      </c>
    </row>
    <row r="732" spans="1:14">
      <c r="A732" s="335">
        <v>725</v>
      </c>
      <c r="B732" s="39">
        <f t="shared" si="62"/>
        <v>394</v>
      </c>
      <c r="C732" s="39">
        <f t="shared" si="63"/>
        <v>454</v>
      </c>
      <c r="F732" s="25" t="s">
        <v>2452</v>
      </c>
      <c r="G732" s="22">
        <v>20</v>
      </c>
      <c r="H732" s="22">
        <v>10</v>
      </c>
      <c r="I732" s="22">
        <v>23.7</v>
      </c>
      <c r="J732" s="22">
        <v>46</v>
      </c>
      <c r="K732" s="22">
        <v>27</v>
      </c>
      <c r="L732" s="22">
        <v>40</v>
      </c>
      <c r="M732" s="22" t="s">
        <v>1328</v>
      </c>
      <c r="N732" s="22" t="s">
        <v>1329</v>
      </c>
    </row>
    <row r="733" spans="1:14">
      <c r="A733" s="335">
        <v>726</v>
      </c>
      <c r="B733" s="39">
        <f t="shared" si="62"/>
        <v>394</v>
      </c>
      <c r="C733" s="39">
        <f t="shared" si="63"/>
        <v>454</v>
      </c>
      <c r="F733" s="25" t="s">
        <v>2453</v>
      </c>
      <c r="G733" s="22">
        <v>20</v>
      </c>
      <c r="H733" s="22">
        <v>12</v>
      </c>
      <c r="I733" s="22">
        <v>1</v>
      </c>
      <c r="J733" s="22">
        <v>26</v>
      </c>
      <c r="K733" s="22">
        <v>28</v>
      </c>
      <c r="L733" s="22">
        <v>4</v>
      </c>
      <c r="M733" s="22" t="s">
        <v>1330</v>
      </c>
      <c r="N733" s="22" t="s">
        <v>1331</v>
      </c>
    </row>
    <row r="734" spans="1:14">
      <c r="A734" s="335">
        <v>727</v>
      </c>
      <c r="B734" s="39">
        <f t="shared" si="62"/>
        <v>394</v>
      </c>
      <c r="C734" s="39">
        <f t="shared" si="63"/>
        <v>454</v>
      </c>
      <c r="F734" s="25" t="s">
        <v>2454</v>
      </c>
      <c r="G734" s="22">
        <v>20</v>
      </c>
      <c r="H734" s="22">
        <v>12</v>
      </c>
      <c r="I734" s="22">
        <v>42.8</v>
      </c>
      <c r="J734" s="22">
        <v>19</v>
      </c>
      <c r="K734" s="22">
        <v>59</v>
      </c>
      <c r="L734" s="22">
        <v>22</v>
      </c>
      <c r="M734" s="22" t="s">
        <v>1332</v>
      </c>
      <c r="N734" s="39" t="s">
        <v>1333</v>
      </c>
    </row>
    <row r="735" spans="1:14">
      <c r="A735" s="335">
        <v>728</v>
      </c>
      <c r="B735" s="39">
        <f t="shared" si="62"/>
        <v>394</v>
      </c>
      <c r="C735" s="39">
        <f t="shared" si="63"/>
        <v>454</v>
      </c>
      <c r="F735" s="25" t="s">
        <v>2455</v>
      </c>
      <c r="G735" s="22">
        <v>20</v>
      </c>
      <c r="H735" s="22">
        <v>15</v>
      </c>
      <c r="I735" s="22">
        <v>8.8000000000000007</v>
      </c>
      <c r="J735" s="22">
        <v>12</v>
      </c>
      <c r="K735" s="22">
        <v>42</v>
      </c>
      <c r="L735" s="22">
        <v>16</v>
      </c>
      <c r="M735" s="22" t="s">
        <v>1334</v>
      </c>
      <c r="N735" s="39" t="s">
        <v>1333</v>
      </c>
    </row>
    <row r="736" spans="1:14">
      <c r="A736" s="335">
        <v>729</v>
      </c>
      <c r="B736" s="39">
        <f t="shared" si="62"/>
        <v>394</v>
      </c>
      <c r="C736" s="39">
        <f t="shared" si="63"/>
        <v>454</v>
      </c>
      <c r="F736" s="25" t="s">
        <v>2456</v>
      </c>
      <c r="G736" s="22">
        <v>20</v>
      </c>
      <c r="H736" s="22">
        <v>22</v>
      </c>
      <c r="I736" s="22">
        <v>23</v>
      </c>
      <c r="J736" s="22">
        <v>20</v>
      </c>
      <c r="K736" s="22">
        <v>6</v>
      </c>
      <c r="L736" s="22">
        <v>16</v>
      </c>
      <c r="M736" s="22" t="s">
        <v>1335</v>
      </c>
      <c r="N736" s="39" t="s">
        <v>1336</v>
      </c>
    </row>
    <row r="737" spans="1:14">
      <c r="A737" s="335">
        <v>730</v>
      </c>
      <c r="B737" s="39">
        <f t="shared" si="62"/>
        <v>394</v>
      </c>
      <c r="C737" s="39">
        <f t="shared" si="63"/>
        <v>454</v>
      </c>
      <c r="F737" s="25" t="s">
        <v>2457</v>
      </c>
      <c r="G737" s="22">
        <v>20</v>
      </c>
      <c r="H737" s="22">
        <v>31</v>
      </c>
      <c r="I737" s="22">
        <v>30</v>
      </c>
      <c r="J737" s="22">
        <v>60</v>
      </c>
      <c r="K737" s="22">
        <v>39</v>
      </c>
      <c r="L737" s="22">
        <v>42</v>
      </c>
      <c r="M737" s="22" t="s">
        <v>1337</v>
      </c>
      <c r="N737" s="22" t="s">
        <v>1338</v>
      </c>
    </row>
    <row r="738" spans="1:14">
      <c r="A738" s="335">
        <v>731</v>
      </c>
      <c r="B738" s="39">
        <f t="shared" si="62"/>
        <v>394</v>
      </c>
      <c r="C738" s="39">
        <f t="shared" si="63"/>
        <v>454</v>
      </c>
      <c r="F738" s="25" t="s">
        <v>2458</v>
      </c>
      <c r="G738" s="22">
        <v>20</v>
      </c>
      <c r="H738" s="22">
        <v>34</v>
      </c>
      <c r="I738" s="22">
        <v>52.3</v>
      </c>
      <c r="J738" s="22">
        <v>60</v>
      </c>
      <c r="K738" s="22">
        <v>9</v>
      </c>
      <c r="L738" s="22">
        <v>13</v>
      </c>
      <c r="M738" s="22" t="s">
        <v>1339</v>
      </c>
      <c r="N738" s="22" t="s">
        <v>1340</v>
      </c>
    </row>
    <row r="739" spans="1:14">
      <c r="A739" s="335">
        <v>732</v>
      </c>
      <c r="B739" s="39">
        <f t="shared" si="62"/>
        <v>394</v>
      </c>
      <c r="C739" s="39">
        <f t="shared" si="63"/>
        <v>454</v>
      </c>
      <c r="F739" s="41" t="s">
        <v>3843</v>
      </c>
      <c r="G739" s="22">
        <v>20</v>
      </c>
      <c r="H739" s="22">
        <v>57</v>
      </c>
      <c r="I739" s="22">
        <v>0</v>
      </c>
      <c r="J739" s="22">
        <v>31</v>
      </c>
      <c r="K739" s="22">
        <v>13</v>
      </c>
      <c r="L739" s="22">
        <v>0</v>
      </c>
      <c r="M739" s="22" t="s">
        <v>3964</v>
      </c>
      <c r="N739" s="22" t="s">
        <v>3844</v>
      </c>
    </row>
    <row r="740" spans="1:14">
      <c r="A740" s="335">
        <v>733</v>
      </c>
      <c r="B740" s="39">
        <f t="shared" si="62"/>
        <v>394</v>
      </c>
      <c r="C740" s="39">
        <f t="shared" si="63"/>
        <v>454</v>
      </c>
      <c r="F740" s="25" t="s">
        <v>2459</v>
      </c>
      <c r="G740" s="22">
        <v>21</v>
      </c>
      <c r="H740" s="22">
        <v>0</v>
      </c>
      <c r="I740" s="22">
        <v>32.700000000000003</v>
      </c>
      <c r="J740" s="22">
        <v>54</v>
      </c>
      <c r="K740" s="22">
        <v>32</v>
      </c>
      <c r="L740" s="22">
        <v>39</v>
      </c>
      <c r="M740" s="22" t="s">
        <v>1341</v>
      </c>
      <c r="N740" s="22" t="s">
        <v>991</v>
      </c>
    </row>
    <row r="741" spans="1:14">
      <c r="A741" s="335">
        <v>734</v>
      </c>
      <c r="B741" s="39">
        <f t="shared" si="62"/>
        <v>394</v>
      </c>
      <c r="C741" s="39">
        <f t="shared" si="63"/>
        <v>454</v>
      </c>
      <c r="F741" s="25" t="s">
        <v>2460</v>
      </c>
      <c r="G741" s="22">
        <v>21</v>
      </c>
      <c r="H741" s="22">
        <v>4</v>
      </c>
      <c r="I741" s="22">
        <v>10.9</v>
      </c>
      <c r="J741" s="22">
        <v>-11</v>
      </c>
      <c r="K741" s="22">
        <v>-21</v>
      </c>
      <c r="L741" s="22">
        <v>-48</v>
      </c>
      <c r="M741" s="22" t="s">
        <v>1342</v>
      </c>
      <c r="N741" s="39" t="s">
        <v>1343</v>
      </c>
    </row>
    <row r="742" spans="1:14">
      <c r="A742" s="335">
        <v>735</v>
      </c>
      <c r="B742" s="39">
        <f t="shared" si="62"/>
        <v>394</v>
      </c>
      <c r="C742" s="39">
        <f t="shared" si="63"/>
        <v>454</v>
      </c>
      <c r="F742" s="25" t="s">
        <v>2461</v>
      </c>
      <c r="G742" s="22">
        <v>21</v>
      </c>
      <c r="H742" s="22">
        <v>6</v>
      </c>
      <c r="I742" s="22">
        <v>18.2</v>
      </c>
      <c r="J742" s="22">
        <v>47</v>
      </c>
      <c r="K742" s="22">
        <v>51</v>
      </c>
      <c r="L742" s="22">
        <v>7</v>
      </c>
      <c r="M742" s="22" t="s">
        <v>1344</v>
      </c>
      <c r="N742" s="22" t="s">
        <v>1345</v>
      </c>
    </row>
    <row r="743" spans="1:14">
      <c r="A743" s="335">
        <v>736</v>
      </c>
      <c r="B743" s="39">
        <f t="shared" si="62"/>
        <v>394</v>
      </c>
      <c r="C743" s="39">
        <f t="shared" si="63"/>
        <v>454</v>
      </c>
      <c r="F743" s="25" t="s">
        <v>2462</v>
      </c>
      <c r="G743" s="22">
        <v>21</v>
      </c>
      <c r="H743" s="22">
        <v>7</v>
      </c>
      <c r="I743" s="22">
        <v>1.8</v>
      </c>
      <c r="J743" s="22">
        <v>42</v>
      </c>
      <c r="K743" s="22">
        <v>14</v>
      </c>
      <c r="L743" s="22">
        <v>10</v>
      </c>
      <c r="M743" s="22" t="s">
        <v>1346</v>
      </c>
      <c r="N743" s="39" t="s">
        <v>1347</v>
      </c>
    </row>
    <row r="744" spans="1:14">
      <c r="A744" s="335">
        <v>737</v>
      </c>
      <c r="B744" s="39">
        <f t="shared" si="62"/>
        <v>394</v>
      </c>
      <c r="C744" s="39">
        <f t="shared" si="63"/>
        <v>454</v>
      </c>
      <c r="F744" s="25" t="s">
        <v>2463</v>
      </c>
      <c r="G744" s="22">
        <v>22</v>
      </c>
      <c r="H744" s="22">
        <v>7</v>
      </c>
      <c r="I744" s="22">
        <v>52.4</v>
      </c>
      <c r="J744" s="22">
        <v>31</v>
      </c>
      <c r="K744" s="22">
        <v>21</v>
      </c>
      <c r="L744" s="22">
        <v>33</v>
      </c>
      <c r="M744" s="22" t="s">
        <v>1348</v>
      </c>
      <c r="N744" s="22" t="s">
        <v>1349</v>
      </c>
    </row>
    <row r="745" spans="1:14">
      <c r="A745" s="335">
        <v>738</v>
      </c>
      <c r="B745" s="39">
        <f t="shared" si="62"/>
        <v>394</v>
      </c>
      <c r="C745" s="39">
        <f t="shared" si="63"/>
        <v>454</v>
      </c>
      <c r="F745" s="25" t="s">
        <v>2464</v>
      </c>
      <c r="G745" s="22">
        <v>22</v>
      </c>
      <c r="H745" s="22">
        <v>20</v>
      </c>
      <c r="I745" s="22">
        <v>44.8</v>
      </c>
      <c r="J745" s="22">
        <v>-24</v>
      </c>
      <c r="K745" s="22">
        <v>-40</v>
      </c>
      <c r="L745" s="22">
        <v>-42</v>
      </c>
      <c r="M745" s="22" t="s">
        <v>1350</v>
      </c>
      <c r="N745" s="39" t="s">
        <v>1351</v>
      </c>
    </row>
    <row r="746" spans="1:14">
      <c r="A746" s="335">
        <v>739</v>
      </c>
      <c r="B746" s="39">
        <f t="shared" si="62"/>
        <v>394</v>
      </c>
      <c r="C746" s="39">
        <f t="shared" si="63"/>
        <v>454</v>
      </c>
      <c r="F746" s="25" t="s">
        <v>2465</v>
      </c>
      <c r="G746" s="22">
        <v>22</v>
      </c>
      <c r="H746" s="22">
        <v>29</v>
      </c>
      <c r="I746" s="22">
        <v>38.5</v>
      </c>
      <c r="J746" s="22">
        <v>-20</v>
      </c>
      <c r="K746" s="22">
        <v>-50</v>
      </c>
      <c r="L746" s="22">
        <v>-14</v>
      </c>
      <c r="M746" s="22" t="s">
        <v>1352</v>
      </c>
      <c r="N746" s="39" t="s">
        <v>1353</v>
      </c>
    </row>
    <row r="747" spans="1:14">
      <c r="A747" s="335">
        <v>740</v>
      </c>
      <c r="B747" s="39">
        <f t="shared" si="62"/>
        <v>394</v>
      </c>
      <c r="C747" s="39">
        <f t="shared" si="63"/>
        <v>454</v>
      </c>
      <c r="F747" s="25" t="s">
        <v>2466</v>
      </c>
      <c r="G747" s="22">
        <v>22</v>
      </c>
      <c r="H747" s="22">
        <v>35</v>
      </c>
      <c r="I747" s="22">
        <v>46.2</v>
      </c>
      <c r="J747" s="22">
        <v>-26</v>
      </c>
      <c r="K747" s="22">
        <v>-3</v>
      </c>
      <c r="L747" s="22">
        <v>-1</v>
      </c>
      <c r="M747" s="22" t="s">
        <v>1354</v>
      </c>
      <c r="N747" s="22" t="s">
        <v>1355</v>
      </c>
    </row>
    <row r="748" spans="1:14">
      <c r="A748" s="335">
        <v>741</v>
      </c>
      <c r="B748" s="39">
        <f t="shared" si="62"/>
        <v>394</v>
      </c>
      <c r="C748" s="39">
        <f t="shared" si="63"/>
        <v>454</v>
      </c>
      <c r="F748" s="25" t="s">
        <v>2467</v>
      </c>
      <c r="G748" s="22">
        <v>22</v>
      </c>
      <c r="H748" s="22">
        <v>37</v>
      </c>
      <c r="I748" s="22">
        <v>4.0999999999999996</v>
      </c>
      <c r="J748" s="22">
        <v>34</v>
      </c>
      <c r="K748" s="22">
        <v>24</v>
      </c>
      <c r="L748" s="22">
        <v>57</v>
      </c>
      <c r="M748" s="22" t="s">
        <v>1356</v>
      </c>
      <c r="N748" s="22" t="s">
        <v>1357</v>
      </c>
    </row>
    <row r="749" spans="1:14">
      <c r="A749" s="335">
        <v>742</v>
      </c>
      <c r="B749" s="39">
        <f t="shared" si="62"/>
        <v>394</v>
      </c>
      <c r="C749" s="39">
        <f t="shared" si="63"/>
        <v>454</v>
      </c>
      <c r="F749" s="25" t="s">
        <v>2468</v>
      </c>
      <c r="G749" s="22">
        <v>22</v>
      </c>
      <c r="H749" s="22">
        <v>37</v>
      </c>
      <c r="I749" s="22">
        <v>24.5</v>
      </c>
      <c r="J749" s="22">
        <v>23</v>
      </c>
      <c r="K749" s="22">
        <v>47</v>
      </c>
      <c r="L749" s="22">
        <v>54</v>
      </c>
      <c r="M749" s="22" t="s">
        <v>1358</v>
      </c>
      <c r="N749" s="22" t="s">
        <v>1359</v>
      </c>
    </row>
    <row r="750" spans="1:14">
      <c r="A750" s="335">
        <v>743</v>
      </c>
      <c r="B750" s="39">
        <f t="shared" si="62"/>
        <v>394</v>
      </c>
      <c r="C750" s="39">
        <f t="shared" si="63"/>
        <v>454</v>
      </c>
      <c r="F750" s="25" t="s">
        <v>2469</v>
      </c>
      <c r="G750" s="22">
        <v>22</v>
      </c>
      <c r="H750" s="22">
        <v>47</v>
      </c>
      <c r="I750" s="22">
        <v>47.5</v>
      </c>
      <c r="J750" s="22">
        <v>-22</v>
      </c>
      <c r="K750" s="22">
        <v>-18</v>
      </c>
      <c r="L750" s="22">
        <v>-43</v>
      </c>
      <c r="M750" s="22" t="s">
        <v>1360</v>
      </c>
      <c r="N750" s="22" t="s">
        <v>1361</v>
      </c>
    </row>
    <row r="751" spans="1:14">
      <c r="A751" s="335">
        <v>744</v>
      </c>
      <c r="B751" s="39">
        <f t="shared" si="62"/>
        <v>394</v>
      </c>
      <c r="C751" s="39">
        <f t="shared" si="63"/>
        <v>454</v>
      </c>
      <c r="F751" s="25" t="s">
        <v>2470</v>
      </c>
      <c r="G751" s="22">
        <v>23</v>
      </c>
      <c r="H751" s="22">
        <v>0</v>
      </c>
      <c r="I751" s="22">
        <v>3.6</v>
      </c>
      <c r="J751" s="22">
        <v>15</v>
      </c>
      <c r="K751" s="22">
        <v>58</v>
      </c>
      <c r="L751" s="22">
        <v>48</v>
      </c>
      <c r="M751" s="22" t="s">
        <v>1362</v>
      </c>
      <c r="N751" s="22" t="s">
        <v>991</v>
      </c>
    </row>
    <row r="752" spans="1:14">
      <c r="A752" s="335">
        <v>745</v>
      </c>
      <c r="B752" s="39">
        <f t="shared" si="62"/>
        <v>394</v>
      </c>
      <c r="C752" s="39">
        <f t="shared" si="63"/>
        <v>454</v>
      </c>
      <c r="F752" s="25" t="s">
        <v>2471</v>
      </c>
      <c r="G752" s="22">
        <v>23</v>
      </c>
      <c r="H752" s="22">
        <v>1</v>
      </c>
      <c r="I752" s="22">
        <v>6.5</v>
      </c>
      <c r="J752" s="22">
        <v>16</v>
      </c>
      <c r="K752" s="22">
        <v>23</v>
      </c>
      <c r="L752" s="22">
        <v>18</v>
      </c>
      <c r="M752" s="22" t="s">
        <v>1363</v>
      </c>
      <c r="N752" s="22" t="s">
        <v>1364</v>
      </c>
    </row>
    <row r="753" spans="1:14">
      <c r="A753" s="335">
        <v>746</v>
      </c>
      <c r="B753" s="39">
        <f t="shared" si="62"/>
        <v>394</v>
      </c>
      <c r="C753" s="39">
        <f t="shared" si="63"/>
        <v>454</v>
      </c>
      <c r="F753" s="25" t="s">
        <v>2472</v>
      </c>
      <c r="G753" s="22">
        <v>23</v>
      </c>
      <c r="H753" s="22">
        <v>0</v>
      </c>
      <c r="I753" s="22">
        <v>59.9</v>
      </c>
      <c r="J753" s="22">
        <v>30</v>
      </c>
      <c r="K753" s="22">
        <v>8</v>
      </c>
      <c r="L753" s="22">
        <v>42</v>
      </c>
      <c r="M753" s="22" t="s">
        <v>1365</v>
      </c>
      <c r="N753" s="22" t="s">
        <v>1366</v>
      </c>
    </row>
    <row r="754" spans="1:14">
      <c r="A754" s="335">
        <v>747</v>
      </c>
      <c r="B754" s="39">
        <f t="shared" si="62"/>
        <v>394</v>
      </c>
      <c r="C754" s="39">
        <f t="shared" si="63"/>
        <v>454</v>
      </c>
      <c r="F754" s="25" t="s">
        <v>2473</v>
      </c>
      <c r="G754" s="22">
        <v>23</v>
      </c>
      <c r="H754" s="22">
        <v>4</v>
      </c>
      <c r="I754" s="22">
        <v>56.7</v>
      </c>
      <c r="J754" s="22">
        <v>12</v>
      </c>
      <c r="K754" s="22">
        <v>19</v>
      </c>
      <c r="L754" s="22">
        <v>22</v>
      </c>
      <c r="M754" s="22" t="s">
        <v>1367</v>
      </c>
      <c r="N754" s="22" t="s">
        <v>1368</v>
      </c>
    </row>
    <row r="755" spans="1:14">
      <c r="A755" s="335">
        <v>748</v>
      </c>
      <c r="B755" s="39">
        <f t="shared" si="62"/>
        <v>394</v>
      </c>
      <c r="C755" s="39">
        <f t="shared" si="63"/>
        <v>454</v>
      </c>
      <c r="F755" s="25" t="s">
        <v>2474</v>
      </c>
      <c r="G755" s="22">
        <v>23</v>
      </c>
      <c r="H755" s="22">
        <v>12</v>
      </c>
      <c r="I755" s="22">
        <v>7.6</v>
      </c>
      <c r="J755" s="22">
        <v>-28</v>
      </c>
      <c r="K755" s="22">
        <v>-32</v>
      </c>
      <c r="L755" s="22">
        <v>-23</v>
      </c>
      <c r="M755" s="22" t="s">
        <v>1369</v>
      </c>
      <c r="N755" s="22" t="s">
        <v>1370</v>
      </c>
    </row>
    <row r="756" spans="1:14">
      <c r="A756" s="335">
        <v>749</v>
      </c>
      <c r="B756" s="39">
        <f t="shared" si="62"/>
        <v>394</v>
      </c>
      <c r="C756" s="39">
        <f t="shared" si="63"/>
        <v>454</v>
      </c>
      <c r="F756" s="25" t="s">
        <v>2475</v>
      </c>
      <c r="G756" s="22">
        <v>23</v>
      </c>
      <c r="H756" s="22">
        <v>19</v>
      </c>
      <c r="I756" s="22">
        <v>4.8</v>
      </c>
      <c r="J756" s="22">
        <v>-8</v>
      </c>
      <c r="K756" s="22">
        <v>-29</v>
      </c>
      <c r="L756" s="22">
        <v>-7</v>
      </c>
      <c r="M756" s="22" t="s">
        <v>1371</v>
      </c>
      <c r="N756" s="22" t="s">
        <v>1372</v>
      </c>
    </row>
    <row r="757" spans="1:14">
      <c r="A757" s="335">
        <v>750</v>
      </c>
      <c r="B757" s="39">
        <f t="shared" si="62"/>
        <v>394</v>
      </c>
      <c r="C757" s="39">
        <f t="shared" si="63"/>
        <v>454</v>
      </c>
      <c r="F757" s="25" t="s">
        <v>2476</v>
      </c>
      <c r="G757" s="22">
        <v>23</v>
      </c>
      <c r="H757" s="22">
        <v>20</v>
      </c>
      <c r="I757" s="22">
        <v>14.5</v>
      </c>
      <c r="J757" s="22">
        <v>8</v>
      </c>
      <c r="K757" s="22">
        <v>12</v>
      </c>
      <c r="L757" s="22">
        <v>23</v>
      </c>
      <c r="M757" s="22" t="s">
        <v>1373</v>
      </c>
      <c r="N757" s="22" t="s">
        <v>1374</v>
      </c>
    </row>
    <row r="758" spans="1:14">
      <c r="A758" s="335">
        <v>751</v>
      </c>
      <c r="B758" s="39">
        <f t="shared" si="62"/>
        <v>394</v>
      </c>
      <c r="C758" s="39">
        <f t="shared" si="63"/>
        <v>454</v>
      </c>
      <c r="F758" s="25" t="s">
        <v>2477</v>
      </c>
      <c r="G758" s="22">
        <v>23</v>
      </c>
      <c r="H758" s="22">
        <v>20</v>
      </c>
      <c r="I758" s="22">
        <v>42.5</v>
      </c>
      <c r="J758" s="22">
        <v>8</v>
      </c>
      <c r="K758" s="22">
        <v>13</v>
      </c>
      <c r="L758" s="22">
        <v>1</v>
      </c>
      <c r="M758" s="22" t="s">
        <v>1375</v>
      </c>
      <c r="N758" s="22" t="s">
        <v>1374</v>
      </c>
    </row>
    <row r="759" spans="1:14">
      <c r="A759" s="335">
        <v>752</v>
      </c>
      <c r="B759" s="39">
        <f t="shared" si="62"/>
        <v>394</v>
      </c>
      <c r="C759" s="39">
        <f t="shared" si="63"/>
        <v>454</v>
      </c>
      <c r="F759" s="25" t="s">
        <v>2478</v>
      </c>
      <c r="G759" s="22">
        <v>23</v>
      </c>
      <c r="H759" s="22">
        <v>22</v>
      </c>
      <c r="I759" s="22">
        <v>6.6</v>
      </c>
      <c r="J759" s="22">
        <v>40</v>
      </c>
      <c r="K759" s="22">
        <v>50</v>
      </c>
      <c r="L759" s="22">
        <v>43</v>
      </c>
      <c r="M759" s="22" t="s">
        <v>1376</v>
      </c>
      <c r="N759" s="22" t="s">
        <v>1377</v>
      </c>
    </row>
    <row r="760" spans="1:14">
      <c r="A760" s="335">
        <v>753</v>
      </c>
      <c r="B760" s="39">
        <f t="shared" si="62"/>
        <v>394</v>
      </c>
      <c r="C760" s="39">
        <f t="shared" si="63"/>
        <v>454</v>
      </c>
      <c r="F760" s="25" t="s">
        <v>2479</v>
      </c>
      <c r="G760" s="22">
        <v>23</v>
      </c>
      <c r="H760" s="22">
        <v>25</v>
      </c>
      <c r="I760" s="22">
        <v>53.6</v>
      </c>
      <c r="J760" s="22">
        <v>42</v>
      </c>
      <c r="K760" s="22">
        <v>32</v>
      </c>
      <c r="L760" s="22">
        <v>6</v>
      </c>
      <c r="M760" s="22" t="s">
        <v>1378</v>
      </c>
      <c r="N760" s="22" t="s">
        <v>1379</v>
      </c>
    </row>
    <row r="761" spans="1:14">
      <c r="A761" s="335">
        <v>754</v>
      </c>
      <c r="B761" s="39">
        <f t="shared" si="62"/>
        <v>394</v>
      </c>
      <c r="C761" s="39">
        <f t="shared" si="63"/>
        <v>454</v>
      </c>
      <c r="F761" s="25" t="s">
        <v>2480</v>
      </c>
      <c r="G761" s="22">
        <v>23</v>
      </c>
      <c r="H761" s="22">
        <v>38</v>
      </c>
      <c r="I761" s="22">
        <v>57.1</v>
      </c>
      <c r="J761" s="22">
        <v>-12</v>
      </c>
      <c r="K761" s="22">
        <v>-57</v>
      </c>
      <c r="L761" s="22">
        <v>-40</v>
      </c>
      <c r="M761" s="22" t="s">
        <v>1380</v>
      </c>
      <c r="N761" s="22" t="s">
        <v>1381</v>
      </c>
    </row>
    <row r="762" spans="1:14">
      <c r="A762" s="335">
        <v>755</v>
      </c>
      <c r="B762" s="39">
        <f t="shared" si="62"/>
        <v>394</v>
      </c>
      <c r="C762" s="39">
        <f t="shared" si="63"/>
        <v>454</v>
      </c>
      <c r="F762" s="25" t="s">
        <v>2481</v>
      </c>
      <c r="G762" s="22">
        <v>23</v>
      </c>
      <c r="H762" s="22">
        <v>39</v>
      </c>
      <c r="I762" s="22">
        <v>53.9</v>
      </c>
      <c r="J762" s="22">
        <v>-12</v>
      </c>
      <c r="K762" s="22">
        <v>-17</v>
      </c>
      <c r="L762" s="22">
        <v>-35</v>
      </c>
      <c r="M762" s="22" t="s">
        <v>1382</v>
      </c>
      <c r="N762" s="22" t="s">
        <v>1383</v>
      </c>
    </row>
    <row r="763" spans="1:14">
      <c r="A763" s="335">
        <v>756</v>
      </c>
      <c r="B763" s="39">
        <f t="shared" si="62"/>
        <v>394</v>
      </c>
      <c r="C763" s="39">
        <f t="shared" si="63"/>
        <v>454</v>
      </c>
      <c r="F763" s="25" t="s">
        <v>2482</v>
      </c>
      <c r="G763" s="22">
        <v>23</v>
      </c>
      <c r="H763" s="22">
        <v>43</v>
      </c>
      <c r="I763" s="22">
        <v>54.4</v>
      </c>
      <c r="J763" s="22">
        <v>26</v>
      </c>
      <c r="K763" s="22">
        <v>4</v>
      </c>
      <c r="L763" s="22">
        <v>33</v>
      </c>
      <c r="M763" s="22" t="s">
        <v>1384</v>
      </c>
      <c r="N763" s="22" t="s">
        <v>991</v>
      </c>
    </row>
    <row r="764" spans="1:14">
      <c r="A764" s="335">
        <v>757</v>
      </c>
      <c r="B764" s="39">
        <f t="shared" si="62"/>
        <v>394</v>
      </c>
      <c r="C764" s="39">
        <f t="shared" si="63"/>
        <v>454</v>
      </c>
      <c r="F764" s="25" t="s">
        <v>2483</v>
      </c>
      <c r="G764" s="22">
        <v>23</v>
      </c>
      <c r="H764" s="22">
        <v>51</v>
      </c>
      <c r="I764" s="22">
        <v>4</v>
      </c>
      <c r="J764" s="22">
        <v>20</v>
      </c>
      <c r="K764" s="22">
        <v>9</v>
      </c>
      <c r="L764" s="22">
        <v>1</v>
      </c>
      <c r="M764" s="22" t="s">
        <v>1385</v>
      </c>
      <c r="N764" s="22" t="s">
        <v>1386</v>
      </c>
    </row>
    <row r="765" spans="1:14">
      <c r="A765" s="335">
        <v>758</v>
      </c>
      <c r="B765" s="39">
        <f t="shared" si="62"/>
        <v>394</v>
      </c>
      <c r="C765" s="39">
        <f t="shared" si="63"/>
        <v>454</v>
      </c>
      <c r="F765" s="25" t="s">
        <v>2484</v>
      </c>
      <c r="G765" s="22">
        <v>23</v>
      </c>
      <c r="H765" s="22">
        <v>51</v>
      </c>
      <c r="I765" s="22">
        <v>24.9</v>
      </c>
      <c r="J765" s="22">
        <v>20</v>
      </c>
      <c r="K765" s="22">
        <v>6</v>
      </c>
      <c r="L765" s="22">
        <v>43</v>
      </c>
      <c r="M765" s="22" t="s">
        <v>1387</v>
      </c>
      <c r="N765" s="22" t="s">
        <v>1388</v>
      </c>
    </row>
    <row r="766" spans="1:14">
      <c r="A766" s="335">
        <v>759</v>
      </c>
      <c r="B766" s="39">
        <f t="shared" si="62"/>
        <v>394</v>
      </c>
      <c r="C766" s="39">
        <f t="shared" si="63"/>
        <v>454</v>
      </c>
      <c r="F766" s="25" t="s">
        <v>2485</v>
      </c>
      <c r="G766" s="22">
        <v>23</v>
      </c>
      <c r="H766" s="22">
        <v>55</v>
      </c>
      <c r="I766" s="22">
        <v>19</v>
      </c>
      <c r="J766" s="22">
        <v>5</v>
      </c>
      <c r="K766" s="22">
        <v>54</v>
      </c>
      <c r="L766" s="22">
        <v>57</v>
      </c>
      <c r="M766" s="22" t="s">
        <v>1389</v>
      </c>
      <c r="N766" s="22" t="s">
        <v>1390</v>
      </c>
    </row>
    <row r="767" spans="1:14">
      <c r="A767" s="335">
        <v>760</v>
      </c>
      <c r="B767" s="39">
        <f t="shared" si="62"/>
        <v>394</v>
      </c>
      <c r="C767" s="39">
        <f t="shared" si="63"/>
        <v>454</v>
      </c>
      <c r="F767" s="25" t="s">
        <v>2486</v>
      </c>
      <c r="G767" s="22">
        <v>23</v>
      </c>
      <c r="H767" s="22">
        <v>57</v>
      </c>
      <c r="I767" s="22">
        <v>49.8</v>
      </c>
      <c r="J767" s="22">
        <v>-32</v>
      </c>
      <c r="K767" s="22">
        <v>-35</v>
      </c>
      <c r="L767" s="22">
        <v>-28</v>
      </c>
      <c r="M767" s="22" t="s">
        <v>1391</v>
      </c>
      <c r="N767" s="22" t="s">
        <v>1262</v>
      </c>
    </row>
    <row r="768" spans="1:14">
      <c r="A768" s="335">
        <v>761</v>
      </c>
      <c r="B768" s="39">
        <f t="shared" si="62"/>
        <v>394</v>
      </c>
      <c r="C768" s="39">
        <f t="shared" si="63"/>
        <v>454</v>
      </c>
      <c r="F768" s="25" t="s">
        <v>2487</v>
      </c>
      <c r="G768" s="22">
        <v>0</v>
      </c>
      <c r="H768" s="22">
        <v>3</v>
      </c>
      <c r="I768" s="22">
        <v>14.9</v>
      </c>
      <c r="J768" s="22">
        <v>16</v>
      </c>
      <c r="K768" s="22">
        <v>8</v>
      </c>
      <c r="L768" s="22">
        <v>43</v>
      </c>
      <c r="M768" s="22" t="s">
        <v>1392</v>
      </c>
      <c r="N768" s="45" t="s">
        <v>1393</v>
      </c>
    </row>
    <row r="769" spans="1:14">
      <c r="A769" s="335">
        <v>762</v>
      </c>
      <c r="B769" s="39">
        <f t="shared" si="62"/>
        <v>394</v>
      </c>
      <c r="C769" s="39">
        <f t="shared" si="63"/>
        <v>454</v>
      </c>
      <c r="F769" s="25" t="s">
        <v>2488</v>
      </c>
      <c r="G769" s="22">
        <v>0</v>
      </c>
      <c r="H769" s="22">
        <v>3</v>
      </c>
      <c r="I769" s="22">
        <v>58.9</v>
      </c>
      <c r="J769" s="22">
        <v>20</v>
      </c>
      <c r="K769" s="22">
        <v>45</v>
      </c>
      <c r="L769" s="22">
        <v>8</v>
      </c>
      <c r="M769" s="22" t="s">
        <v>1394</v>
      </c>
      <c r="N769" s="22" t="s">
        <v>1242</v>
      </c>
    </row>
    <row r="770" spans="1:14">
      <c r="A770" s="335">
        <v>763</v>
      </c>
      <c r="B770" s="39">
        <f t="shared" si="62"/>
        <v>394</v>
      </c>
      <c r="C770" s="39">
        <f t="shared" si="63"/>
        <v>454</v>
      </c>
      <c r="F770" s="27" t="s">
        <v>2489</v>
      </c>
      <c r="G770" s="26"/>
      <c r="H770" s="26"/>
      <c r="I770" s="26"/>
      <c r="J770" s="26"/>
      <c r="K770" s="26"/>
      <c r="L770" s="26"/>
      <c r="M770" s="26" t="s">
        <v>1395</v>
      </c>
      <c r="N770" s="26" t="s">
        <v>1396</v>
      </c>
    </row>
    <row r="771" spans="1:14">
      <c r="A771" s="335">
        <v>764</v>
      </c>
      <c r="B771" s="39">
        <f t="shared" si="62"/>
        <v>394</v>
      </c>
      <c r="C771" s="39">
        <f t="shared" si="63"/>
        <v>454</v>
      </c>
      <c r="F771" s="25" t="s">
        <v>2490</v>
      </c>
      <c r="G771" s="22">
        <v>15</v>
      </c>
      <c r="H771" s="22">
        <v>44</v>
      </c>
      <c r="I771" s="22">
        <v>16.100000000000001</v>
      </c>
      <c r="J771" s="22">
        <v>6</v>
      </c>
      <c r="K771" s="22">
        <v>25</v>
      </c>
      <c r="L771" s="22">
        <v>32</v>
      </c>
      <c r="M771" s="22" t="s">
        <v>1397</v>
      </c>
      <c r="N771" s="23" t="s">
        <v>1398</v>
      </c>
    </row>
    <row r="772" spans="1:14">
      <c r="A772" s="335">
        <v>765</v>
      </c>
      <c r="B772" s="39">
        <f t="shared" si="62"/>
        <v>394</v>
      </c>
      <c r="C772" s="39">
        <f t="shared" si="63"/>
        <v>454</v>
      </c>
      <c r="F772" s="25" t="s">
        <v>2491</v>
      </c>
      <c r="G772" s="22">
        <v>15</v>
      </c>
      <c r="H772" s="22">
        <v>46</v>
      </c>
      <c r="I772" s="22">
        <v>11.3</v>
      </c>
      <c r="J772" s="22">
        <v>15</v>
      </c>
      <c r="K772" s="22">
        <v>25</v>
      </c>
      <c r="L772" s="22">
        <v>19</v>
      </c>
      <c r="M772" s="22" t="s">
        <v>1399</v>
      </c>
      <c r="N772" s="23" t="s">
        <v>1400</v>
      </c>
    </row>
    <row r="773" spans="1:14">
      <c r="A773" s="335">
        <v>766</v>
      </c>
      <c r="B773" s="39">
        <f t="shared" si="62"/>
        <v>394</v>
      </c>
      <c r="C773" s="39">
        <f t="shared" si="63"/>
        <v>454</v>
      </c>
      <c r="F773" s="25" t="s">
        <v>2492</v>
      </c>
      <c r="G773" s="22">
        <v>15</v>
      </c>
      <c r="H773" s="22">
        <v>56</v>
      </c>
      <c r="I773" s="22">
        <v>27.2</v>
      </c>
      <c r="J773" s="22">
        <v>15</v>
      </c>
      <c r="K773" s="22">
        <v>39</v>
      </c>
      <c r="L773" s="22">
        <v>42</v>
      </c>
      <c r="M773" s="22" t="s">
        <v>1401</v>
      </c>
      <c r="N773" s="23" t="s">
        <v>1402</v>
      </c>
    </row>
    <row r="774" spans="1:14">
      <c r="A774" s="335">
        <v>767</v>
      </c>
      <c r="B774" s="39">
        <f t="shared" ref="B774:B837" si="64">IF(B773=F774,A774,B773)</f>
        <v>394</v>
      </c>
      <c r="C774" s="39">
        <f t="shared" ref="C774:C837" si="65" xml:space="preserve"> IF(C773=F774,A774,C773)</f>
        <v>454</v>
      </c>
      <c r="F774" s="25" t="s">
        <v>2493</v>
      </c>
      <c r="G774" s="22">
        <v>15</v>
      </c>
      <c r="H774" s="22">
        <v>34</v>
      </c>
      <c r="I774" s="22">
        <v>48.1</v>
      </c>
      <c r="J774" s="22">
        <v>10</v>
      </c>
      <c r="K774" s="22">
        <v>32</v>
      </c>
      <c r="L774" s="22">
        <v>20</v>
      </c>
      <c r="M774" s="22" t="s">
        <v>1403</v>
      </c>
      <c r="N774" s="23" t="s">
        <v>1404</v>
      </c>
    </row>
    <row r="775" spans="1:14">
      <c r="A775" s="335">
        <v>768</v>
      </c>
      <c r="B775" s="39">
        <f t="shared" si="64"/>
        <v>394</v>
      </c>
      <c r="C775" s="39">
        <f t="shared" si="65"/>
        <v>454</v>
      </c>
      <c r="F775" s="25" t="s">
        <v>2494</v>
      </c>
      <c r="G775" s="22">
        <v>15</v>
      </c>
      <c r="H775" s="22">
        <v>50</v>
      </c>
      <c r="I775" s="22">
        <v>49</v>
      </c>
      <c r="J775" s="22">
        <v>4</v>
      </c>
      <c r="K775" s="22">
        <v>28</v>
      </c>
      <c r="L775" s="22">
        <v>40</v>
      </c>
      <c r="M775" s="22" t="s">
        <v>1405</v>
      </c>
      <c r="N775" s="23" t="s">
        <v>1406</v>
      </c>
    </row>
    <row r="776" spans="1:14">
      <c r="A776" s="335">
        <v>769</v>
      </c>
      <c r="B776" s="39">
        <f t="shared" si="64"/>
        <v>394</v>
      </c>
      <c r="C776" s="39">
        <f t="shared" si="65"/>
        <v>454</v>
      </c>
      <c r="F776" s="25" t="s">
        <v>2495</v>
      </c>
      <c r="G776" s="22">
        <v>18</v>
      </c>
      <c r="H776" s="22">
        <v>21</v>
      </c>
      <c r="I776" s="22">
        <v>18.600000000000001</v>
      </c>
      <c r="J776" s="22">
        <v>-2</v>
      </c>
      <c r="K776" s="22">
        <v>-53</v>
      </c>
      <c r="L776" s="22">
        <v>-56</v>
      </c>
      <c r="M776" s="22" t="s">
        <v>1407</v>
      </c>
      <c r="N776" s="23" t="s">
        <v>1408</v>
      </c>
    </row>
    <row r="777" spans="1:14">
      <c r="A777" s="335">
        <v>770</v>
      </c>
      <c r="B777" s="39">
        <f t="shared" si="64"/>
        <v>394</v>
      </c>
      <c r="C777" s="39">
        <f t="shared" si="65"/>
        <v>454</v>
      </c>
      <c r="F777" s="25" t="s">
        <v>2496</v>
      </c>
      <c r="G777" s="22">
        <v>18</v>
      </c>
      <c r="H777" s="22">
        <v>56</v>
      </c>
      <c r="I777" s="22">
        <v>13.2</v>
      </c>
      <c r="J777" s="22">
        <v>4</v>
      </c>
      <c r="K777" s="22">
        <v>12</v>
      </c>
      <c r="L777" s="22">
        <v>13</v>
      </c>
      <c r="M777" s="22" t="s">
        <v>1409</v>
      </c>
      <c r="N777" s="23" t="s">
        <v>1410</v>
      </c>
    </row>
    <row r="778" spans="1:14">
      <c r="A778" s="335">
        <v>771</v>
      </c>
      <c r="B778" s="39">
        <f t="shared" si="64"/>
        <v>394</v>
      </c>
      <c r="C778" s="39">
        <f t="shared" si="65"/>
        <v>454</v>
      </c>
      <c r="F778" s="25" t="s">
        <v>2497</v>
      </c>
      <c r="G778" s="22">
        <v>15</v>
      </c>
      <c r="H778" s="22">
        <v>41</v>
      </c>
      <c r="I778" s="22">
        <v>33.1</v>
      </c>
      <c r="J778" s="22">
        <v>19</v>
      </c>
      <c r="K778" s="22">
        <v>40</v>
      </c>
      <c r="L778" s="22">
        <v>13</v>
      </c>
      <c r="M778" s="22" t="s">
        <v>1411</v>
      </c>
      <c r="N778" s="23" t="s">
        <v>1412</v>
      </c>
    </row>
    <row r="779" spans="1:14">
      <c r="A779" s="335">
        <v>772</v>
      </c>
      <c r="B779" s="39">
        <f t="shared" si="64"/>
        <v>394</v>
      </c>
      <c r="C779" s="39">
        <f t="shared" si="65"/>
        <v>454</v>
      </c>
      <c r="F779" s="25" t="s">
        <v>2498</v>
      </c>
      <c r="G779" s="22">
        <v>15</v>
      </c>
      <c r="H779" s="22">
        <v>48</v>
      </c>
      <c r="I779" s="22">
        <v>44.4</v>
      </c>
      <c r="J779" s="22">
        <v>18</v>
      </c>
      <c r="K779" s="22">
        <v>8</v>
      </c>
      <c r="L779" s="22">
        <v>30</v>
      </c>
      <c r="M779" s="22" t="s">
        <v>1413</v>
      </c>
      <c r="N779" s="23" t="s">
        <v>1414</v>
      </c>
    </row>
    <row r="780" spans="1:14">
      <c r="A780" s="335">
        <v>773</v>
      </c>
      <c r="B780" s="39">
        <f t="shared" si="64"/>
        <v>394</v>
      </c>
      <c r="C780" s="39">
        <f t="shared" si="65"/>
        <v>454</v>
      </c>
      <c r="F780" s="25" t="s">
        <v>2499</v>
      </c>
      <c r="G780" s="22">
        <v>15</v>
      </c>
      <c r="H780" s="22">
        <v>49</v>
      </c>
      <c r="I780" s="22">
        <v>37.200000000000003</v>
      </c>
      <c r="J780" s="22">
        <v>3</v>
      </c>
      <c r="K780" s="22">
        <v>25</v>
      </c>
      <c r="L780" s="22">
        <v>49</v>
      </c>
      <c r="M780" s="22" t="s">
        <v>1415</v>
      </c>
      <c r="N780" s="23" t="s">
        <v>1416</v>
      </c>
    </row>
    <row r="781" spans="1:14">
      <c r="A781" s="335">
        <v>774</v>
      </c>
      <c r="B781" s="39">
        <f t="shared" si="64"/>
        <v>394</v>
      </c>
      <c r="C781" s="39">
        <f t="shared" si="65"/>
        <v>454</v>
      </c>
      <c r="F781" s="25" t="s">
        <v>2500</v>
      </c>
      <c r="G781" s="22">
        <v>17</v>
      </c>
      <c r="H781" s="22">
        <v>20</v>
      </c>
      <c r="I781" s="22">
        <v>49.7</v>
      </c>
      <c r="J781" s="22">
        <v>-12</v>
      </c>
      <c r="K781" s="22">
        <v>-50</v>
      </c>
      <c r="L781" s="22">
        <v>-49</v>
      </c>
      <c r="M781" s="22" t="s">
        <v>1417</v>
      </c>
      <c r="N781" s="23" t="s">
        <v>1418</v>
      </c>
    </row>
    <row r="782" spans="1:14">
      <c r="A782" s="335">
        <v>775</v>
      </c>
      <c r="B782" s="39">
        <f t="shared" si="64"/>
        <v>394</v>
      </c>
      <c r="C782" s="39">
        <f t="shared" si="65"/>
        <v>454</v>
      </c>
      <c r="F782" s="25" t="s">
        <v>2501</v>
      </c>
      <c r="G782" s="22">
        <v>17</v>
      </c>
      <c r="H782" s="22">
        <v>37</v>
      </c>
      <c r="I782" s="22">
        <v>35.200000000000003</v>
      </c>
      <c r="J782" s="22">
        <v>-15</v>
      </c>
      <c r="K782" s="22">
        <v>-23</v>
      </c>
      <c r="L782" s="22">
        <v>-55</v>
      </c>
      <c r="M782" s="22" t="s">
        <v>1419</v>
      </c>
      <c r="N782" s="23" t="s">
        <v>1420</v>
      </c>
    </row>
    <row r="783" spans="1:14">
      <c r="A783" s="335">
        <v>776</v>
      </c>
      <c r="B783" s="39">
        <f t="shared" si="64"/>
        <v>394</v>
      </c>
      <c r="C783" s="39">
        <f t="shared" si="65"/>
        <v>454</v>
      </c>
      <c r="F783" s="25" t="s">
        <v>2502</v>
      </c>
      <c r="G783" s="22">
        <v>15</v>
      </c>
      <c r="H783" s="22">
        <v>51</v>
      </c>
      <c r="I783" s="22">
        <v>15.9</v>
      </c>
      <c r="J783" s="22">
        <v>20</v>
      </c>
      <c r="K783" s="22">
        <v>58</v>
      </c>
      <c r="L783" s="22">
        <v>41</v>
      </c>
      <c r="M783" s="22" t="s">
        <v>1421</v>
      </c>
      <c r="N783" s="23" t="s">
        <v>1422</v>
      </c>
    </row>
    <row r="784" spans="1:14">
      <c r="A784" s="335">
        <v>777</v>
      </c>
      <c r="B784" s="39">
        <f t="shared" si="64"/>
        <v>394</v>
      </c>
      <c r="C784" s="39">
        <f t="shared" si="65"/>
        <v>454</v>
      </c>
      <c r="F784" s="27" t="s">
        <v>2503</v>
      </c>
      <c r="G784" s="26"/>
      <c r="H784" s="26"/>
      <c r="I784" s="26"/>
      <c r="J784" s="26"/>
      <c r="K784" s="26"/>
      <c r="L784" s="26"/>
      <c r="M784" s="26" t="s">
        <v>1423</v>
      </c>
      <c r="N784" s="26" t="s">
        <v>1424</v>
      </c>
    </row>
    <row r="785" spans="1:14">
      <c r="A785" s="335">
        <v>778</v>
      </c>
      <c r="B785" s="39">
        <f t="shared" si="64"/>
        <v>394</v>
      </c>
      <c r="C785" s="39">
        <f t="shared" si="65"/>
        <v>454</v>
      </c>
      <c r="F785" s="41" t="s">
        <v>2504</v>
      </c>
      <c r="G785" s="42">
        <v>18</v>
      </c>
      <c r="H785" s="42">
        <v>0</v>
      </c>
      <c r="I785" s="42">
        <v>38.700000000000003</v>
      </c>
      <c r="J785" s="42">
        <v>2</v>
      </c>
      <c r="K785" s="42">
        <v>55</v>
      </c>
      <c r="L785" s="42">
        <v>54</v>
      </c>
      <c r="M785" s="22" t="s">
        <v>1425</v>
      </c>
      <c r="N785" s="23" t="s">
        <v>1426</v>
      </c>
    </row>
    <row r="786" spans="1:14">
      <c r="A786" s="335">
        <v>779</v>
      </c>
      <c r="B786" s="39">
        <f t="shared" si="64"/>
        <v>394</v>
      </c>
      <c r="C786" s="39">
        <f t="shared" si="65"/>
        <v>454</v>
      </c>
      <c r="F786" s="41" t="s">
        <v>2505</v>
      </c>
      <c r="G786" s="42">
        <v>18</v>
      </c>
      <c r="H786" s="42">
        <v>1</v>
      </c>
      <c r="I786" s="42">
        <v>45.2</v>
      </c>
      <c r="J786" s="42">
        <v>1</v>
      </c>
      <c r="K786" s="42">
        <v>18</v>
      </c>
      <c r="L786" s="42">
        <v>18</v>
      </c>
      <c r="M786" s="22" t="s">
        <v>1427</v>
      </c>
      <c r="N786" s="23" t="s">
        <v>1428</v>
      </c>
    </row>
    <row r="787" spans="1:14">
      <c r="A787" s="335">
        <v>780</v>
      </c>
      <c r="B787" s="39">
        <f t="shared" si="64"/>
        <v>394</v>
      </c>
      <c r="C787" s="39">
        <f t="shared" si="65"/>
        <v>454</v>
      </c>
      <c r="F787" s="41" t="s">
        <v>2506</v>
      </c>
      <c r="G787" s="42">
        <v>18</v>
      </c>
      <c r="H787" s="42">
        <v>5</v>
      </c>
      <c r="I787" s="42">
        <v>27.3</v>
      </c>
      <c r="J787" s="42">
        <v>2</v>
      </c>
      <c r="K787" s="42">
        <v>3</v>
      </c>
      <c r="L787" s="42">
        <v>0</v>
      </c>
      <c r="M787" s="22" t="s">
        <v>1429</v>
      </c>
      <c r="N787" s="23" t="s">
        <v>1430</v>
      </c>
    </row>
    <row r="788" spans="1:14">
      <c r="A788" s="335">
        <v>781</v>
      </c>
      <c r="B788" s="39">
        <f t="shared" si="64"/>
        <v>394</v>
      </c>
      <c r="C788" s="39">
        <f t="shared" si="65"/>
        <v>454</v>
      </c>
      <c r="F788" s="41" t="s">
        <v>2507</v>
      </c>
      <c r="G788" s="22">
        <v>17</v>
      </c>
      <c r="H788" s="22">
        <v>34</v>
      </c>
      <c r="I788" s="22">
        <v>56.1</v>
      </c>
      <c r="J788" s="22">
        <v>12</v>
      </c>
      <c r="K788" s="22">
        <v>33</v>
      </c>
      <c r="L788" s="22">
        <v>36</v>
      </c>
      <c r="M788" s="22" t="s">
        <v>1431</v>
      </c>
      <c r="N788" s="23" t="s">
        <v>1432</v>
      </c>
    </row>
    <row r="789" spans="1:14">
      <c r="A789" s="335">
        <v>782</v>
      </c>
      <c r="B789" s="39">
        <f t="shared" si="64"/>
        <v>394</v>
      </c>
      <c r="C789" s="39">
        <f t="shared" si="65"/>
        <v>454</v>
      </c>
      <c r="F789" s="41" t="s">
        <v>2508</v>
      </c>
      <c r="G789" s="22">
        <v>17</v>
      </c>
      <c r="H789" s="22">
        <v>43</v>
      </c>
      <c r="I789" s="22">
        <v>28.4</v>
      </c>
      <c r="J789" s="22">
        <v>4</v>
      </c>
      <c r="K789" s="22">
        <v>34</v>
      </c>
      <c r="L789" s="22">
        <v>2</v>
      </c>
      <c r="M789" s="22" t="s">
        <v>1433</v>
      </c>
      <c r="N789" s="23" t="s">
        <v>1434</v>
      </c>
    </row>
    <row r="790" spans="1:14">
      <c r="A790" s="335">
        <v>783</v>
      </c>
      <c r="B790" s="39">
        <f t="shared" si="64"/>
        <v>394</v>
      </c>
      <c r="C790" s="39">
        <f t="shared" si="65"/>
        <v>454</v>
      </c>
      <c r="F790" s="41" t="s">
        <v>2509</v>
      </c>
      <c r="G790" s="22">
        <v>17</v>
      </c>
      <c r="H790" s="22">
        <v>47</v>
      </c>
      <c r="I790" s="22">
        <v>53.6</v>
      </c>
      <c r="J790" s="22">
        <v>2</v>
      </c>
      <c r="K790" s="22">
        <v>42</v>
      </c>
      <c r="L790" s="22">
        <v>26</v>
      </c>
      <c r="M790" s="22" t="s">
        <v>1435</v>
      </c>
      <c r="N790" s="23" t="s">
        <v>1436</v>
      </c>
    </row>
    <row r="791" spans="1:14">
      <c r="A791" s="335">
        <v>784</v>
      </c>
      <c r="B791" s="39">
        <f t="shared" si="64"/>
        <v>394</v>
      </c>
      <c r="C791" s="39">
        <f t="shared" si="65"/>
        <v>454</v>
      </c>
      <c r="F791" s="41" t="s">
        <v>2510</v>
      </c>
      <c r="G791" s="22">
        <v>16</v>
      </c>
      <c r="H791" s="22">
        <v>14</v>
      </c>
      <c r="I791" s="22">
        <v>20.7</v>
      </c>
      <c r="J791" s="22">
        <v>-3</v>
      </c>
      <c r="K791" s="22">
        <v>-41</v>
      </c>
      <c r="L791" s="22">
        <v>-40</v>
      </c>
      <c r="M791" s="22" t="s">
        <v>1437</v>
      </c>
      <c r="N791" s="23" t="s">
        <v>1438</v>
      </c>
    </row>
    <row r="792" spans="1:14">
      <c r="A792" s="335">
        <v>785</v>
      </c>
      <c r="B792" s="39">
        <f t="shared" si="64"/>
        <v>394</v>
      </c>
      <c r="C792" s="39">
        <f t="shared" si="65"/>
        <v>454</v>
      </c>
      <c r="F792" s="41" t="s">
        <v>2511</v>
      </c>
      <c r="G792" s="22">
        <v>16</v>
      </c>
      <c r="H792" s="22">
        <v>18</v>
      </c>
      <c r="I792" s="22">
        <v>19.3</v>
      </c>
      <c r="J792" s="22">
        <v>-4</v>
      </c>
      <c r="K792" s="22">
        <v>-41</v>
      </c>
      <c r="L792" s="22">
        <v>-33</v>
      </c>
      <c r="M792" s="22" t="s">
        <v>1439</v>
      </c>
      <c r="N792" s="23" t="s">
        <v>1440</v>
      </c>
    </row>
    <row r="793" spans="1:14">
      <c r="A793" s="335">
        <v>786</v>
      </c>
      <c r="B793" s="39">
        <f t="shared" si="64"/>
        <v>394</v>
      </c>
      <c r="C793" s="39">
        <f t="shared" si="65"/>
        <v>454</v>
      </c>
      <c r="F793" s="41" t="s">
        <v>2512</v>
      </c>
      <c r="G793" s="22">
        <v>16</v>
      </c>
      <c r="H793" s="22">
        <v>37</v>
      </c>
      <c r="I793" s="22">
        <v>9.6</v>
      </c>
      <c r="J793" s="22">
        <v>-10</v>
      </c>
      <c r="K793" s="22">
        <v>-34</v>
      </c>
      <c r="L793" s="22">
        <v>-2</v>
      </c>
      <c r="M793" s="22" t="s">
        <v>1441</v>
      </c>
      <c r="N793" s="23" t="s">
        <v>1442</v>
      </c>
    </row>
    <row r="794" spans="1:14">
      <c r="A794" s="335">
        <v>787</v>
      </c>
      <c r="B794" s="39">
        <f t="shared" si="64"/>
        <v>394</v>
      </c>
      <c r="C794" s="39">
        <f t="shared" si="65"/>
        <v>454</v>
      </c>
      <c r="F794" s="41" t="s">
        <v>2513</v>
      </c>
      <c r="G794" s="22">
        <v>17</v>
      </c>
      <c r="H794" s="22">
        <v>10</v>
      </c>
      <c r="I794" s="22">
        <v>22.7</v>
      </c>
      <c r="J794" s="22">
        <v>-15</v>
      </c>
      <c r="K794" s="22">
        <v>-43</v>
      </c>
      <c r="L794" s="22">
        <v>-30</v>
      </c>
      <c r="M794" s="22" t="s">
        <v>1443</v>
      </c>
      <c r="N794" s="23" t="s">
        <v>1444</v>
      </c>
    </row>
    <row r="795" spans="1:14">
      <c r="A795" s="335">
        <v>788</v>
      </c>
      <c r="B795" s="39">
        <f t="shared" si="64"/>
        <v>394</v>
      </c>
      <c r="C795" s="39">
        <f t="shared" si="65"/>
        <v>454</v>
      </c>
      <c r="F795" s="41" t="s">
        <v>2514</v>
      </c>
      <c r="G795" s="22">
        <v>17</v>
      </c>
      <c r="H795" s="22">
        <v>22</v>
      </c>
      <c r="I795" s="22">
        <v>0.6</v>
      </c>
      <c r="J795" s="22">
        <v>-24</v>
      </c>
      <c r="K795" s="22">
        <v>-59</v>
      </c>
      <c r="L795" s="22">
        <v>-58</v>
      </c>
      <c r="M795" s="22" t="s">
        <v>1445</v>
      </c>
      <c r="N795" s="23" t="s">
        <v>1446</v>
      </c>
    </row>
    <row r="796" spans="1:14">
      <c r="A796" s="335">
        <v>789</v>
      </c>
      <c r="B796" s="39">
        <f t="shared" si="64"/>
        <v>394</v>
      </c>
      <c r="C796" s="39">
        <f t="shared" si="65"/>
        <v>454</v>
      </c>
      <c r="F796" s="41" t="s">
        <v>3824</v>
      </c>
      <c r="G796" s="22">
        <v>16</v>
      </c>
      <c r="H796" s="22">
        <v>54</v>
      </c>
      <c r="I796" s="22">
        <v>0.5</v>
      </c>
      <c r="J796" s="22">
        <v>10</v>
      </c>
      <c r="K796" s="22">
        <v>9</v>
      </c>
      <c r="L796" s="22">
        <v>55</v>
      </c>
      <c r="M796" s="22" t="s">
        <v>3965</v>
      </c>
      <c r="N796" s="23" t="s">
        <v>3966</v>
      </c>
    </row>
    <row r="797" spans="1:14">
      <c r="A797" s="335">
        <v>790</v>
      </c>
      <c r="B797" s="39">
        <f t="shared" si="64"/>
        <v>394</v>
      </c>
      <c r="C797" s="39">
        <f t="shared" si="65"/>
        <v>454</v>
      </c>
      <c r="F797" s="41" t="s">
        <v>3822</v>
      </c>
      <c r="G797" s="22">
        <v>16</v>
      </c>
      <c r="H797" s="22">
        <v>57</v>
      </c>
      <c r="I797" s="22">
        <v>40.1</v>
      </c>
      <c r="J797" s="22">
        <v>9</v>
      </c>
      <c r="K797" s="22">
        <v>22</v>
      </c>
      <c r="L797" s="22">
        <v>30</v>
      </c>
      <c r="M797" s="22" t="s">
        <v>3823</v>
      </c>
      <c r="N797" s="23" t="s">
        <v>3967</v>
      </c>
    </row>
    <row r="798" spans="1:14">
      <c r="A798" s="335">
        <v>791</v>
      </c>
      <c r="B798" s="39">
        <f t="shared" si="64"/>
        <v>394</v>
      </c>
      <c r="C798" s="39">
        <f t="shared" si="65"/>
        <v>454</v>
      </c>
      <c r="F798" s="41" t="s">
        <v>3825</v>
      </c>
      <c r="G798" s="22">
        <v>16</v>
      </c>
      <c r="H798" s="22">
        <v>30</v>
      </c>
      <c r="I798" s="22">
        <v>54.8</v>
      </c>
      <c r="J798" s="22">
        <v>1</v>
      </c>
      <c r="K798" s="22">
        <v>59</v>
      </c>
      <c r="L798" s="22">
        <v>2</v>
      </c>
      <c r="M798" s="22" t="s">
        <v>3968</v>
      </c>
      <c r="N798" s="23" t="s">
        <v>3969</v>
      </c>
    </row>
    <row r="799" spans="1:14">
      <c r="A799" s="335">
        <v>792</v>
      </c>
      <c r="B799" s="39">
        <f t="shared" si="64"/>
        <v>394</v>
      </c>
      <c r="C799" s="39">
        <f t="shared" si="65"/>
        <v>454</v>
      </c>
      <c r="F799" s="41" t="s">
        <v>2515</v>
      </c>
      <c r="G799" s="22">
        <v>17</v>
      </c>
      <c r="H799" s="22">
        <v>59</v>
      </c>
      <c r="I799" s="22">
        <v>1.6</v>
      </c>
      <c r="J799" s="22">
        <v>-9</v>
      </c>
      <c r="K799" s="22">
        <v>-46</v>
      </c>
      <c r="L799" s="22">
        <v>-25</v>
      </c>
      <c r="M799" s="22" t="s">
        <v>1447</v>
      </c>
      <c r="N799" s="23" t="s">
        <v>1448</v>
      </c>
    </row>
    <row r="800" spans="1:14">
      <c r="A800" s="335">
        <v>793</v>
      </c>
      <c r="B800" s="39">
        <f t="shared" si="64"/>
        <v>394</v>
      </c>
      <c r="C800" s="39">
        <f t="shared" si="65"/>
        <v>454</v>
      </c>
      <c r="F800" s="41" t="s">
        <v>2516</v>
      </c>
      <c r="G800" s="22">
        <v>16</v>
      </c>
      <c r="H800" s="22">
        <v>25</v>
      </c>
      <c r="I800" s="22">
        <v>35.200000000000003</v>
      </c>
      <c r="J800" s="22">
        <v>-23</v>
      </c>
      <c r="K800" s="22">
        <v>-26</v>
      </c>
      <c r="L800" s="22">
        <v>-50</v>
      </c>
      <c r="M800" s="22" t="s">
        <v>1449</v>
      </c>
      <c r="N800" s="23" t="s">
        <v>1450</v>
      </c>
    </row>
    <row r="801" spans="1:14">
      <c r="A801" s="335">
        <v>794</v>
      </c>
      <c r="B801" s="39">
        <f t="shared" si="64"/>
        <v>394</v>
      </c>
      <c r="C801" s="39">
        <f t="shared" si="65"/>
        <v>454</v>
      </c>
      <c r="F801" s="41" t="s">
        <v>2517</v>
      </c>
      <c r="G801" s="22">
        <v>18</v>
      </c>
      <c r="H801" s="22">
        <v>3</v>
      </c>
      <c r="I801" s="22">
        <v>4.9000000000000004</v>
      </c>
      <c r="J801" s="22">
        <v>-8</v>
      </c>
      <c r="K801" s="22">
        <v>-10</v>
      </c>
      <c r="L801" s="22">
        <v>-49</v>
      </c>
      <c r="M801" s="22" t="s">
        <v>1451</v>
      </c>
      <c r="N801" s="23" t="s">
        <v>1452</v>
      </c>
    </row>
    <row r="802" spans="1:14">
      <c r="A802" s="335">
        <v>795</v>
      </c>
      <c r="B802" s="39">
        <f t="shared" si="64"/>
        <v>394</v>
      </c>
      <c r="C802" s="39">
        <f t="shared" si="65"/>
        <v>454</v>
      </c>
      <c r="F802" s="41" t="s">
        <v>3826</v>
      </c>
      <c r="G802" s="22">
        <v>16</v>
      </c>
      <c r="H802" s="22">
        <v>27</v>
      </c>
      <c r="I802" s="22">
        <v>48.2</v>
      </c>
      <c r="J802" s="22">
        <v>-8</v>
      </c>
      <c r="K802" s="22">
        <v>-22</v>
      </c>
      <c r="L802" s="22">
        <v>-18</v>
      </c>
      <c r="M802" s="22" t="s">
        <v>3827</v>
      </c>
      <c r="N802" s="23" t="s">
        <v>3970</v>
      </c>
    </row>
    <row r="803" spans="1:14">
      <c r="A803" s="335">
        <v>796</v>
      </c>
      <c r="B803" s="39">
        <f t="shared" si="64"/>
        <v>394</v>
      </c>
      <c r="C803" s="39">
        <f t="shared" si="65"/>
        <v>454</v>
      </c>
      <c r="F803" s="27" t="s">
        <v>2518</v>
      </c>
      <c r="G803" s="26"/>
      <c r="H803" s="26"/>
      <c r="I803" s="26"/>
      <c r="J803" s="26"/>
      <c r="K803" s="26"/>
      <c r="L803" s="26"/>
      <c r="M803" s="26" t="s">
        <v>1453</v>
      </c>
      <c r="N803" s="26" t="s">
        <v>1454</v>
      </c>
    </row>
    <row r="804" spans="1:14">
      <c r="A804" s="335">
        <v>797</v>
      </c>
      <c r="B804" s="39">
        <f t="shared" si="64"/>
        <v>394</v>
      </c>
      <c r="C804" s="39">
        <f t="shared" si="65"/>
        <v>454</v>
      </c>
      <c r="F804" s="25" t="s">
        <v>2519</v>
      </c>
      <c r="G804" s="22">
        <v>14</v>
      </c>
      <c r="H804" s="22">
        <v>46</v>
      </c>
      <c r="I804" s="22">
        <v>14.9</v>
      </c>
      <c r="J804" s="22">
        <v>1</v>
      </c>
      <c r="K804" s="22">
        <v>53</v>
      </c>
      <c r="L804" s="22">
        <v>34</v>
      </c>
      <c r="M804" s="22" t="s">
        <v>1455</v>
      </c>
      <c r="N804" s="23" t="s">
        <v>1456</v>
      </c>
    </row>
    <row r="805" spans="1:14">
      <c r="A805" s="335">
        <v>798</v>
      </c>
      <c r="B805" s="39">
        <f t="shared" si="64"/>
        <v>394</v>
      </c>
      <c r="C805" s="39">
        <f t="shared" si="65"/>
        <v>454</v>
      </c>
      <c r="F805" s="25" t="s">
        <v>2520</v>
      </c>
      <c r="G805" s="22">
        <v>13</v>
      </c>
      <c r="H805" s="22">
        <v>25</v>
      </c>
      <c r="I805" s="22">
        <v>11.6</v>
      </c>
      <c r="J805" s="22">
        <v>-11</v>
      </c>
      <c r="K805" s="22">
        <v>-9</v>
      </c>
      <c r="L805" s="22">
        <v>-41</v>
      </c>
      <c r="M805" s="22" t="s">
        <v>1457</v>
      </c>
      <c r="N805" s="23" t="s">
        <v>1458</v>
      </c>
    </row>
    <row r="806" spans="1:14">
      <c r="A806" s="335">
        <v>799</v>
      </c>
      <c r="B806" s="39">
        <f t="shared" si="64"/>
        <v>394</v>
      </c>
      <c r="C806" s="39">
        <f t="shared" si="65"/>
        <v>454</v>
      </c>
      <c r="F806" s="25" t="s">
        <v>2521</v>
      </c>
      <c r="G806" s="22">
        <v>11</v>
      </c>
      <c r="H806" s="22">
        <v>50</v>
      </c>
      <c r="I806" s="22">
        <v>41.7</v>
      </c>
      <c r="J806" s="22">
        <v>1</v>
      </c>
      <c r="K806" s="22">
        <v>45</v>
      </c>
      <c r="L806" s="22">
        <v>53</v>
      </c>
      <c r="M806" s="22" t="s">
        <v>1459</v>
      </c>
      <c r="N806" s="23" t="s">
        <v>1460</v>
      </c>
    </row>
    <row r="807" spans="1:14">
      <c r="A807" s="335">
        <v>800</v>
      </c>
      <c r="B807" s="39">
        <f t="shared" si="64"/>
        <v>394</v>
      </c>
      <c r="C807" s="39">
        <f t="shared" si="65"/>
        <v>454</v>
      </c>
      <c r="F807" s="25" t="s">
        <v>2522</v>
      </c>
      <c r="G807" s="22">
        <v>12</v>
      </c>
      <c r="H807" s="22">
        <v>41</v>
      </c>
      <c r="I807" s="22">
        <v>39.6</v>
      </c>
      <c r="J807" s="22">
        <v>-1</v>
      </c>
      <c r="K807" s="22">
        <v>-26</v>
      </c>
      <c r="L807" s="22">
        <v>-58</v>
      </c>
      <c r="M807" s="22" t="s">
        <v>1461</v>
      </c>
      <c r="N807" s="23" t="s">
        <v>1462</v>
      </c>
    </row>
    <row r="808" spans="1:14">
      <c r="A808" s="335">
        <v>801</v>
      </c>
      <c r="B808" s="39">
        <f t="shared" si="64"/>
        <v>394</v>
      </c>
      <c r="C808" s="39">
        <f t="shared" si="65"/>
        <v>454</v>
      </c>
      <c r="F808" s="25" t="s">
        <v>2523</v>
      </c>
      <c r="G808" s="22">
        <v>12</v>
      </c>
      <c r="H808" s="22">
        <v>55</v>
      </c>
      <c r="I808" s="22">
        <v>36.200000000000003</v>
      </c>
      <c r="J808" s="22">
        <v>3</v>
      </c>
      <c r="K808" s="22">
        <v>23</v>
      </c>
      <c r="L808" s="22">
        <v>51</v>
      </c>
      <c r="M808" s="22" t="s">
        <v>1463</v>
      </c>
      <c r="N808" s="23" t="s">
        <v>1464</v>
      </c>
    </row>
    <row r="809" spans="1:14">
      <c r="A809" s="335">
        <v>802</v>
      </c>
      <c r="B809" s="39">
        <f t="shared" si="64"/>
        <v>394</v>
      </c>
      <c r="C809" s="39">
        <f t="shared" si="65"/>
        <v>454</v>
      </c>
      <c r="F809" s="25" t="s">
        <v>2524</v>
      </c>
      <c r="G809" s="22">
        <v>13</v>
      </c>
      <c r="H809" s="22">
        <v>2</v>
      </c>
      <c r="I809" s="22">
        <v>10.6</v>
      </c>
      <c r="J809" s="22">
        <v>10</v>
      </c>
      <c r="K809" s="22">
        <v>57</v>
      </c>
      <c r="L809" s="22">
        <v>33</v>
      </c>
      <c r="M809" s="22" t="s">
        <v>1465</v>
      </c>
      <c r="N809" s="23" t="s">
        <v>1466</v>
      </c>
    </row>
    <row r="810" spans="1:14">
      <c r="A810" s="335">
        <v>803</v>
      </c>
      <c r="B810" s="39">
        <f t="shared" si="64"/>
        <v>394</v>
      </c>
      <c r="C810" s="39">
        <f t="shared" si="65"/>
        <v>454</v>
      </c>
      <c r="F810" s="25" t="s">
        <v>2525</v>
      </c>
      <c r="G810" s="22">
        <v>13</v>
      </c>
      <c r="H810" s="22">
        <v>34</v>
      </c>
      <c r="I810" s="22">
        <v>41.7</v>
      </c>
      <c r="J810" s="22">
        <v>0</v>
      </c>
      <c r="K810" s="22">
        <v>-35</v>
      </c>
      <c r="L810" s="22">
        <v>-45</v>
      </c>
      <c r="M810" s="22" t="s">
        <v>1467</v>
      </c>
      <c r="N810" s="23" t="s">
        <v>1468</v>
      </c>
    </row>
    <row r="811" spans="1:14">
      <c r="A811" s="335">
        <v>804</v>
      </c>
      <c r="B811" s="39">
        <f t="shared" si="64"/>
        <v>394</v>
      </c>
      <c r="C811" s="39">
        <f t="shared" si="65"/>
        <v>454</v>
      </c>
      <c r="F811" s="25" t="s">
        <v>2526</v>
      </c>
      <c r="G811" s="22">
        <v>12</v>
      </c>
      <c r="H811" s="22">
        <v>19</v>
      </c>
      <c r="I811" s="22">
        <v>54.3</v>
      </c>
      <c r="J811" s="22">
        <v>0</v>
      </c>
      <c r="K811" s="22">
        <v>-40</v>
      </c>
      <c r="L811" s="22">
        <v>0</v>
      </c>
      <c r="M811" s="22" t="s">
        <v>1469</v>
      </c>
      <c r="N811" s="23" t="s">
        <v>1470</v>
      </c>
    </row>
    <row r="812" spans="1:14">
      <c r="A812" s="335">
        <v>805</v>
      </c>
      <c r="B812" s="39">
        <f t="shared" si="64"/>
        <v>394</v>
      </c>
      <c r="C812" s="39">
        <f t="shared" si="65"/>
        <v>454</v>
      </c>
      <c r="F812" s="25" t="s">
        <v>2527</v>
      </c>
      <c r="G812" s="22">
        <v>13</v>
      </c>
      <c r="H812" s="22">
        <v>9</v>
      </c>
      <c r="I812" s="22">
        <v>57</v>
      </c>
      <c r="J812" s="22">
        <v>-5</v>
      </c>
      <c r="K812" s="22">
        <v>-32</v>
      </c>
      <c r="L812" s="22">
        <v>-20</v>
      </c>
      <c r="M812" s="22" t="s">
        <v>1471</v>
      </c>
      <c r="N812" s="23" t="s">
        <v>1472</v>
      </c>
    </row>
    <row r="813" spans="1:14">
      <c r="A813" s="335">
        <v>806</v>
      </c>
      <c r="B813" s="39">
        <f t="shared" si="64"/>
        <v>394</v>
      </c>
      <c r="C813" s="39">
        <f t="shared" si="65"/>
        <v>454</v>
      </c>
      <c r="F813" s="25" t="s">
        <v>2528</v>
      </c>
      <c r="G813" s="22">
        <v>14</v>
      </c>
      <c r="H813" s="22">
        <v>16</v>
      </c>
      <c r="I813" s="22">
        <v>0.9</v>
      </c>
      <c r="J813" s="22">
        <v>-6</v>
      </c>
      <c r="K813" s="22">
        <v>0</v>
      </c>
      <c r="L813" s="22">
        <v>-2</v>
      </c>
      <c r="M813" s="22" t="s">
        <v>1473</v>
      </c>
      <c r="N813" s="23" t="s">
        <v>1474</v>
      </c>
    </row>
    <row r="814" spans="1:14">
      <c r="A814" s="335">
        <v>807</v>
      </c>
      <c r="B814" s="39">
        <f t="shared" si="64"/>
        <v>394</v>
      </c>
      <c r="C814" s="39">
        <f t="shared" si="65"/>
        <v>454</v>
      </c>
      <c r="F814" s="25" t="s">
        <v>2529</v>
      </c>
      <c r="G814" s="22">
        <v>14</v>
      </c>
      <c r="H814" s="22">
        <v>12</v>
      </c>
      <c r="I814" s="22">
        <v>53.7</v>
      </c>
      <c r="J814" s="22">
        <v>-10</v>
      </c>
      <c r="K814" s="22">
        <v>-16</v>
      </c>
      <c r="L814" s="22">
        <v>-25</v>
      </c>
      <c r="M814" s="22" t="s">
        <v>1475</v>
      </c>
      <c r="N814" s="23" t="s">
        <v>1476</v>
      </c>
    </row>
    <row r="815" spans="1:14">
      <c r="A815" s="335">
        <v>808</v>
      </c>
      <c r="B815" s="39">
        <f t="shared" si="64"/>
        <v>394</v>
      </c>
      <c r="C815" s="39">
        <f t="shared" si="65"/>
        <v>454</v>
      </c>
      <c r="F815" s="25" t="s">
        <v>2530</v>
      </c>
      <c r="G815" s="22">
        <v>14</v>
      </c>
      <c r="H815" s="22">
        <v>43</v>
      </c>
      <c r="I815" s="22">
        <v>3.6</v>
      </c>
      <c r="J815" s="22">
        <v>-5</v>
      </c>
      <c r="K815" s="22">
        <v>-39</v>
      </c>
      <c r="L815" s="22">
        <v>-30</v>
      </c>
      <c r="M815" s="22" t="s">
        <v>1477</v>
      </c>
      <c r="N815" s="23" t="s">
        <v>1478</v>
      </c>
    </row>
    <row r="816" spans="1:14">
      <c r="A816" s="335">
        <v>809</v>
      </c>
      <c r="B816" s="39">
        <f t="shared" si="64"/>
        <v>394</v>
      </c>
      <c r="C816" s="39">
        <f t="shared" si="65"/>
        <v>454</v>
      </c>
      <c r="F816" s="25" t="s">
        <v>2531</v>
      </c>
      <c r="G816" s="22">
        <v>11</v>
      </c>
      <c r="H816" s="22">
        <v>45</v>
      </c>
      <c r="I816" s="22">
        <v>51.6</v>
      </c>
      <c r="J816" s="22">
        <v>6</v>
      </c>
      <c r="K816" s="22">
        <v>31</v>
      </c>
      <c r="L816" s="22">
        <v>46</v>
      </c>
      <c r="M816" s="22" t="s">
        <v>1479</v>
      </c>
      <c r="N816" s="23" t="s">
        <v>1480</v>
      </c>
    </row>
    <row r="817" spans="1:14">
      <c r="A817" s="335">
        <v>810</v>
      </c>
      <c r="B817" s="39">
        <f t="shared" si="64"/>
        <v>394</v>
      </c>
      <c r="C817" s="39">
        <f t="shared" si="65"/>
        <v>454</v>
      </c>
      <c r="F817" s="25" t="s">
        <v>2532</v>
      </c>
      <c r="G817" s="22">
        <v>12</v>
      </c>
      <c r="H817" s="22">
        <v>5</v>
      </c>
      <c r="I817" s="22">
        <v>12.5</v>
      </c>
      <c r="J817" s="22">
        <v>8</v>
      </c>
      <c r="K817" s="22">
        <v>43</v>
      </c>
      <c r="L817" s="22">
        <v>59</v>
      </c>
      <c r="M817" s="22" t="s">
        <v>1481</v>
      </c>
      <c r="N817" s="23" t="s">
        <v>1482</v>
      </c>
    </row>
    <row r="818" spans="1:14">
      <c r="A818" s="335">
        <v>811</v>
      </c>
      <c r="B818" s="39">
        <f t="shared" si="64"/>
        <v>394</v>
      </c>
      <c r="C818" s="39">
        <f t="shared" si="65"/>
        <v>454</v>
      </c>
      <c r="F818" s="25" t="s">
        <v>2533</v>
      </c>
      <c r="G818" s="22">
        <v>12</v>
      </c>
      <c r="H818" s="22">
        <v>0</v>
      </c>
      <c r="I818" s="22">
        <v>52.4</v>
      </c>
      <c r="J818" s="22">
        <v>6</v>
      </c>
      <c r="K818" s="22">
        <v>36</v>
      </c>
      <c r="L818" s="22">
        <v>52</v>
      </c>
      <c r="M818" s="22" t="s">
        <v>1483</v>
      </c>
      <c r="N818" s="23" t="s">
        <v>1484</v>
      </c>
    </row>
    <row r="819" spans="1:14">
      <c r="A819" s="335">
        <v>812</v>
      </c>
      <c r="B819" s="39">
        <f t="shared" si="64"/>
        <v>394</v>
      </c>
      <c r="C819" s="39">
        <f t="shared" si="65"/>
        <v>454</v>
      </c>
      <c r="F819" s="25" t="s">
        <v>2534</v>
      </c>
      <c r="G819" s="22">
        <v>14</v>
      </c>
      <c r="H819" s="22">
        <v>1</v>
      </c>
      <c r="I819" s="22">
        <v>38.799999999999997</v>
      </c>
      <c r="J819" s="22">
        <v>1</v>
      </c>
      <c r="K819" s="22">
        <v>32</v>
      </c>
      <c r="L819" s="22">
        <v>40</v>
      </c>
      <c r="M819" s="22" t="s">
        <v>1485</v>
      </c>
      <c r="N819" s="23" t="s">
        <v>1486</v>
      </c>
    </row>
    <row r="820" spans="1:14">
      <c r="A820" s="335">
        <v>813</v>
      </c>
      <c r="B820" s="39">
        <f t="shared" si="64"/>
        <v>394</v>
      </c>
      <c r="C820" s="39">
        <f t="shared" si="65"/>
        <v>454</v>
      </c>
      <c r="F820" s="41" t="s">
        <v>3790</v>
      </c>
      <c r="G820" s="22">
        <v>13</v>
      </c>
      <c r="H820" s="22">
        <v>15</v>
      </c>
      <c r="I820" s="22">
        <v>34.700000000000003</v>
      </c>
      <c r="J820" s="22">
        <v>-7</v>
      </c>
      <c r="K820" s="22">
        <v>-39</v>
      </c>
      <c r="L820" s="22">
        <v>-9</v>
      </c>
      <c r="M820" s="22" t="s">
        <v>3791</v>
      </c>
      <c r="N820" s="23" t="s">
        <v>3971</v>
      </c>
    </row>
    <row r="821" spans="1:14">
      <c r="A821" s="335">
        <v>814</v>
      </c>
      <c r="B821" s="39">
        <f t="shared" si="64"/>
        <v>394</v>
      </c>
      <c r="C821" s="39">
        <f t="shared" si="65"/>
        <v>454</v>
      </c>
      <c r="F821" s="41" t="s">
        <v>3792</v>
      </c>
      <c r="G821" s="22">
        <v>12</v>
      </c>
      <c r="H821" s="22">
        <v>54</v>
      </c>
      <c r="I821" s="22">
        <v>21.2</v>
      </c>
      <c r="J821" s="22">
        <v>-9</v>
      </c>
      <c r="K821" s="22">
        <v>-32</v>
      </c>
      <c r="L821" s="22">
        <v>-20</v>
      </c>
      <c r="M821" s="22" t="s">
        <v>3793</v>
      </c>
      <c r="N821" s="23" t="s">
        <v>3972</v>
      </c>
    </row>
    <row r="822" spans="1:14">
      <c r="A822" s="335">
        <v>815</v>
      </c>
      <c r="B822" s="39">
        <f t="shared" si="64"/>
        <v>394</v>
      </c>
      <c r="C822" s="39">
        <f t="shared" si="65"/>
        <v>454</v>
      </c>
      <c r="F822" s="27" t="s">
        <v>2535</v>
      </c>
      <c r="G822" s="26"/>
      <c r="H822" s="26"/>
      <c r="I822" s="26"/>
      <c r="J822" s="26"/>
      <c r="K822" s="26"/>
      <c r="L822" s="26"/>
      <c r="M822" s="26" t="s">
        <v>1487</v>
      </c>
      <c r="N822" s="26" t="s">
        <v>1488</v>
      </c>
    </row>
    <row r="823" spans="1:14">
      <c r="A823" s="335">
        <v>816</v>
      </c>
      <c r="B823" s="39">
        <f t="shared" si="64"/>
        <v>394</v>
      </c>
      <c r="C823" s="39">
        <f t="shared" si="65"/>
        <v>454</v>
      </c>
      <c r="F823" s="25" t="s">
        <v>2536</v>
      </c>
      <c r="G823" s="22">
        <v>3</v>
      </c>
      <c r="H823" s="22">
        <v>24</v>
      </c>
      <c r="I823" s="22">
        <v>19.399999999999999</v>
      </c>
      <c r="J823" s="22">
        <v>49</v>
      </c>
      <c r="K823" s="22">
        <v>51</v>
      </c>
      <c r="L823" s="22">
        <v>40</v>
      </c>
      <c r="M823" s="22" t="s">
        <v>1489</v>
      </c>
      <c r="N823" s="22" t="s">
        <v>1490</v>
      </c>
    </row>
    <row r="824" spans="1:14">
      <c r="A824" s="335">
        <v>817</v>
      </c>
      <c r="B824" s="39">
        <f t="shared" si="64"/>
        <v>394</v>
      </c>
      <c r="C824" s="39">
        <f t="shared" si="65"/>
        <v>454</v>
      </c>
      <c r="F824" s="25" t="s">
        <v>2537</v>
      </c>
      <c r="G824" s="22">
        <v>3</v>
      </c>
      <c r="H824" s="22">
        <v>8</v>
      </c>
      <c r="I824" s="22">
        <v>10.1</v>
      </c>
      <c r="J824" s="22">
        <v>40</v>
      </c>
      <c r="K824" s="22">
        <v>57</v>
      </c>
      <c r="L824" s="22">
        <v>20</v>
      </c>
      <c r="M824" s="22" t="s">
        <v>1491</v>
      </c>
      <c r="N824" s="22" t="s">
        <v>1492</v>
      </c>
    </row>
    <row r="825" spans="1:14">
      <c r="A825" s="335">
        <v>818</v>
      </c>
      <c r="B825" s="39">
        <f t="shared" si="64"/>
        <v>394</v>
      </c>
      <c r="C825" s="39">
        <f t="shared" si="65"/>
        <v>454</v>
      </c>
      <c r="F825" s="25" t="s">
        <v>2538</v>
      </c>
      <c r="G825" s="22">
        <v>3</v>
      </c>
      <c r="H825" s="22">
        <v>4</v>
      </c>
      <c r="I825" s="22">
        <v>47.8</v>
      </c>
      <c r="J825" s="22">
        <v>53</v>
      </c>
      <c r="K825" s="22">
        <v>30</v>
      </c>
      <c r="L825" s="22">
        <v>23</v>
      </c>
      <c r="M825" s="22" t="s">
        <v>1493</v>
      </c>
      <c r="N825" s="22" t="s">
        <v>1494</v>
      </c>
    </row>
    <row r="826" spans="1:14">
      <c r="A826" s="335">
        <v>819</v>
      </c>
      <c r="B826" s="39">
        <f t="shared" si="64"/>
        <v>394</v>
      </c>
      <c r="C826" s="39">
        <f t="shared" si="65"/>
        <v>454</v>
      </c>
      <c r="F826" s="25" t="s">
        <v>2539</v>
      </c>
      <c r="G826" s="22">
        <v>3</v>
      </c>
      <c r="H826" s="22">
        <v>42</v>
      </c>
      <c r="I826" s="22">
        <v>55.5</v>
      </c>
      <c r="J826" s="22">
        <v>47</v>
      </c>
      <c r="K826" s="22">
        <v>47</v>
      </c>
      <c r="L826" s="22">
        <v>15</v>
      </c>
      <c r="M826" s="22" t="s">
        <v>1495</v>
      </c>
      <c r="N826" s="22" t="s">
        <v>1496</v>
      </c>
    </row>
    <row r="827" spans="1:14">
      <c r="A827" s="335">
        <v>820</v>
      </c>
      <c r="B827" s="39">
        <f t="shared" si="64"/>
        <v>394</v>
      </c>
      <c r="C827" s="39">
        <f t="shared" si="65"/>
        <v>454</v>
      </c>
      <c r="F827" s="25" t="s">
        <v>2540</v>
      </c>
      <c r="G827" s="22">
        <v>3</v>
      </c>
      <c r="H827" s="22">
        <v>57</v>
      </c>
      <c r="I827" s="22">
        <v>51.2</v>
      </c>
      <c r="J827" s="22">
        <v>40</v>
      </c>
      <c r="K827" s="22">
        <v>0</v>
      </c>
      <c r="L827" s="22">
        <v>37</v>
      </c>
      <c r="M827" s="22" t="s">
        <v>1497</v>
      </c>
      <c r="N827" s="22" t="s">
        <v>1498</v>
      </c>
    </row>
    <row r="828" spans="1:14">
      <c r="A828" s="335">
        <v>821</v>
      </c>
      <c r="B828" s="39">
        <f t="shared" si="64"/>
        <v>394</v>
      </c>
      <c r="C828" s="39">
        <f t="shared" si="65"/>
        <v>454</v>
      </c>
      <c r="F828" s="25" t="s">
        <v>2541</v>
      </c>
      <c r="G828" s="22">
        <v>3</v>
      </c>
      <c r="H828" s="22">
        <v>54</v>
      </c>
      <c r="I828" s="22">
        <v>7.9</v>
      </c>
      <c r="J828" s="22">
        <v>31</v>
      </c>
      <c r="K828" s="22">
        <v>53</v>
      </c>
      <c r="L828" s="22">
        <v>1</v>
      </c>
      <c r="M828" s="22" t="s">
        <v>1499</v>
      </c>
      <c r="N828" s="22" t="s">
        <v>1500</v>
      </c>
    </row>
    <row r="829" spans="1:14">
      <c r="A829" s="335">
        <v>822</v>
      </c>
      <c r="B829" s="39">
        <f t="shared" si="64"/>
        <v>394</v>
      </c>
      <c r="C829" s="39">
        <f t="shared" si="65"/>
        <v>454</v>
      </c>
      <c r="F829" s="25" t="s">
        <v>2542</v>
      </c>
      <c r="G829" s="22">
        <v>2</v>
      </c>
      <c r="H829" s="22">
        <v>50</v>
      </c>
      <c r="I829" s="22">
        <v>41.8</v>
      </c>
      <c r="J829" s="22">
        <v>55</v>
      </c>
      <c r="K829" s="22">
        <v>53</v>
      </c>
      <c r="L829" s="22">
        <v>44</v>
      </c>
      <c r="M829" s="22" t="s">
        <v>1501</v>
      </c>
      <c r="N829" s="22" t="s">
        <v>1502</v>
      </c>
    </row>
    <row r="830" spans="1:14">
      <c r="A830" s="335">
        <v>823</v>
      </c>
      <c r="B830" s="39">
        <f t="shared" si="64"/>
        <v>394</v>
      </c>
      <c r="C830" s="39">
        <f t="shared" si="65"/>
        <v>454</v>
      </c>
      <c r="F830" s="25" t="s">
        <v>2543</v>
      </c>
      <c r="G830" s="22">
        <v>3</v>
      </c>
      <c r="H830" s="22">
        <v>45</v>
      </c>
      <c r="I830" s="22">
        <v>11.6</v>
      </c>
      <c r="J830" s="22">
        <v>42</v>
      </c>
      <c r="K830" s="22">
        <v>34</v>
      </c>
      <c r="L830" s="22">
        <v>43</v>
      </c>
      <c r="M830" s="22" t="s">
        <v>1503</v>
      </c>
      <c r="N830" s="22" t="s">
        <v>1504</v>
      </c>
    </row>
    <row r="831" spans="1:14">
      <c r="A831" s="335">
        <v>824</v>
      </c>
      <c r="B831" s="39">
        <f t="shared" si="64"/>
        <v>394</v>
      </c>
      <c r="C831" s="39">
        <f t="shared" si="65"/>
        <v>454</v>
      </c>
      <c r="F831" s="25" t="s">
        <v>2544</v>
      </c>
      <c r="G831" s="22">
        <v>3</v>
      </c>
      <c r="H831" s="22">
        <v>58</v>
      </c>
      <c r="I831" s="22">
        <v>57.9</v>
      </c>
      <c r="J831" s="22">
        <v>35</v>
      </c>
      <c r="K831" s="22">
        <v>47</v>
      </c>
      <c r="L831" s="22">
        <v>28</v>
      </c>
      <c r="M831" s="22" t="s">
        <v>1505</v>
      </c>
      <c r="N831" s="22" t="s">
        <v>1506</v>
      </c>
    </row>
    <row r="832" spans="1:14">
      <c r="A832" s="335">
        <v>825</v>
      </c>
      <c r="B832" s="39">
        <f t="shared" si="64"/>
        <v>394</v>
      </c>
      <c r="C832" s="39">
        <f t="shared" si="65"/>
        <v>454</v>
      </c>
      <c r="F832" s="25" t="s">
        <v>2545</v>
      </c>
      <c r="G832" s="22">
        <v>3</v>
      </c>
      <c r="H832" s="22">
        <v>44</v>
      </c>
      <c r="I832" s="22">
        <v>19.100000000000001</v>
      </c>
      <c r="J832" s="22">
        <v>32</v>
      </c>
      <c r="K832" s="22">
        <v>17</v>
      </c>
      <c r="L832" s="22">
        <v>18</v>
      </c>
      <c r="M832" s="22" t="s">
        <v>1507</v>
      </c>
      <c r="N832" s="22" t="s">
        <v>1508</v>
      </c>
    </row>
    <row r="833" spans="1:14">
      <c r="A833" s="335">
        <v>826</v>
      </c>
      <c r="B833" s="39">
        <f t="shared" si="64"/>
        <v>394</v>
      </c>
      <c r="C833" s="39">
        <f t="shared" si="65"/>
        <v>454</v>
      </c>
      <c r="F833" s="25" t="s">
        <v>2546</v>
      </c>
      <c r="G833" s="22">
        <v>3</v>
      </c>
      <c r="H833" s="22">
        <v>5</v>
      </c>
      <c r="I833" s="22">
        <v>10.6</v>
      </c>
      <c r="J833" s="22">
        <v>38</v>
      </c>
      <c r="K833" s="22">
        <v>50</v>
      </c>
      <c r="L833" s="22">
        <v>25</v>
      </c>
      <c r="M833" s="22" t="s">
        <v>1509</v>
      </c>
      <c r="N833" s="22" t="s">
        <v>1510</v>
      </c>
    </row>
    <row r="834" spans="1:14">
      <c r="A834" s="335">
        <v>827</v>
      </c>
      <c r="B834" s="39">
        <f t="shared" si="64"/>
        <v>394</v>
      </c>
      <c r="C834" s="39">
        <f t="shared" si="65"/>
        <v>454</v>
      </c>
      <c r="F834" s="25" t="s">
        <v>2547</v>
      </c>
      <c r="G834" s="22">
        <v>1</v>
      </c>
      <c r="H834" s="22">
        <v>43</v>
      </c>
      <c r="I834" s="22">
        <v>39.6</v>
      </c>
      <c r="J834" s="22">
        <v>50</v>
      </c>
      <c r="K834" s="22">
        <v>41</v>
      </c>
      <c r="L834" s="22">
        <v>19</v>
      </c>
      <c r="M834" s="22" t="s">
        <v>1511</v>
      </c>
      <c r="N834" s="22" t="s">
        <v>1512</v>
      </c>
    </row>
    <row r="835" spans="1:14">
      <c r="A835" s="335">
        <v>828</v>
      </c>
      <c r="B835" s="39">
        <f t="shared" si="64"/>
        <v>394</v>
      </c>
      <c r="C835" s="39">
        <f t="shared" si="65"/>
        <v>454</v>
      </c>
      <c r="F835" s="27" t="s">
        <v>2548</v>
      </c>
      <c r="G835" s="26"/>
      <c r="H835" s="26"/>
      <c r="I835" s="26"/>
      <c r="J835" s="26"/>
      <c r="K835" s="26"/>
      <c r="L835" s="26"/>
      <c r="M835" s="26" t="s">
        <v>1513</v>
      </c>
      <c r="N835" s="26" t="s">
        <v>1514</v>
      </c>
    </row>
    <row r="836" spans="1:14">
      <c r="A836" s="335">
        <v>829</v>
      </c>
      <c r="B836" s="39">
        <f t="shared" si="64"/>
        <v>394</v>
      </c>
      <c r="C836" s="39">
        <f t="shared" si="65"/>
        <v>454</v>
      </c>
      <c r="F836" s="25" t="s">
        <v>2549</v>
      </c>
      <c r="G836" s="22">
        <v>23</v>
      </c>
      <c r="H836" s="22">
        <v>4</v>
      </c>
      <c r="I836" s="22">
        <v>45.7</v>
      </c>
      <c r="J836" s="22">
        <v>15</v>
      </c>
      <c r="K836" s="22">
        <v>12</v>
      </c>
      <c r="L836" s="22">
        <v>19</v>
      </c>
      <c r="M836" s="22" t="s">
        <v>1515</v>
      </c>
      <c r="N836" s="22" t="s">
        <v>1516</v>
      </c>
    </row>
    <row r="837" spans="1:14">
      <c r="A837" s="335">
        <v>830</v>
      </c>
      <c r="B837" s="39">
        <f t="shared" si="64"/>
        <v>394</v>
      </c>
      <c r="C837" s="39">
        <f t="shared" si="65"/>
        <v>454</v>
      </c>
      <c r="F837" s="25" t="s">
        <v>2550</v>
      </c>
      <c r="G837" s="22">
        <v>23</v>
      </c>
      <c r="H837" s="22">
        <v>3</v>
      </c>
      <c r="I837" s="22">
        <v>46.5</v>
      </c>
      <c r="J837" s="22">
        <v>28</v>
      </c>
      <c r="K837" s="22">
        <v>4</v>
      </c>
      <c r="L837" s="22">
        <v>58</v>
      </c>
      <c r="M837" s="22" t="s">
        <v>1517</v>
      </c>
      <c r="N837" s="22" t="s">
        <v>1518</v>
      </c>
    </row>
    <row r="838" spans="1:14">
      <c r="A838" s="335">
        <v>831</v>
      </c>
      <c r="B838" s="39">
        <f t="shared" ref="B838:B901" si="66">IF(B837=F838,A838,B837)</f>
        <v>394</v>
      </c>
      <c r="C838" s="39">
        <f t="shared" ref="C838:C901" si="67" xml:space="preserve"> IF(C837=F838,A838,C837)</f>
        <v>454</v>
      </c>
      <c r="F838" s="25" t="s">
        <v>2551</v>
      </c>
      <c r="G838" s="22">
        <v>0</v>
      </c>
      <c r="H838" s="22">
        <v>13</v>
      </c>
      <c r="I838" s="22">
        <v>14.2</v>
      </c>
      <c r="J838" s="22">
        <v>15</v>
      </c>
      <c r="K838" s="22">
        <v>11</v>
      </c>
      <c r="L838" s="22">
        <v>1</v>
      </c>
      <c r="M838" s="22" t="s">
        <v>1519</v>
      </c>
      <c r="N838" s="22" t="s">
        <v>1520</v>
      </c>
    </row>
    <row r="839" spans="1:14">
      <c r="A839" s="335">
        <v>832</v>
      </c>
      <c r="B839" s="39">
        <f t="shared" si="66"/>
        <v>394</v>
      </c>
      <c r="C839" s="39">
        <f t="shared" si="67"/>
        <v>454</v>
      </c>
      <c r="F839" s="25" t="s">
        <v>2552</v>
      </c>
      <c r="G839" s="22">
        <v>21</v>
      </c>
      <c r="H839" s="22">
        <v>44</v>
      </c>
      <c r="I839" s="22">
        <v>11.2</v>
      </c>
      <c r="J839" s="22">
        <v>9</v>
      </c>
      <c r="K839" s="22">
        <v>52</v>
      </c>
      <c r="L839" s="22">
        <v>30</v>
      </c>
      <c r="M839" s="22" t="s">
        <v>1521</v>
      </c>
      <c r="N839" s="22" t="s">
        <v>1522</v>
      </c>
    </row>
    <row r="840" spans="1:14">
      <c r="A840" s="335">
        <v>833</v>
      </c>
      <c r="B840" s="39">
        <f t="shared" si="66"/>
        <v>394</v>
      </c>
      <c r="C840" s="39">
        <f t="shared" si="67"/>
        <v>454</v>
      </c>
      <c r="F840" s="25" t="s">
        <v>2553</v>
      </c>
      <c r="G840" s="22">
        <v>22</v>
      </c>
      <c r="H840" s="22">
        <v>41</v>
      </c>
      <c r="I840" s="22">
        <v>27.7</v>
      </c>
      <c r="J840" s="22">
        <v>10</v>
      </c>
      <c r="K840" s="22">
        <v>49</v>
      </c>
      <c r="L840" s="22">
        <v>53</v>
      </c>
      <c r="M840" s="22" t="s">
        <v>1523</v>
      </c>
      <c r="N840" s="22" t="s">
        <v>1524</v>
      </c>
    </row>
    <row r="841" spans="1:14">
      <c r="A841" s="335">
        <v>834</v>
      </c>
      <c r="B841" s="39">
        <f t="shared" si="66"/>
        <v>394</v>
      </c>
      <c r="C841" s="39">
        <f t="shared" si="67"/>
        <v>454</v>
      </c>
      <c r="F841" s="25" t="s">
        <v>2554</v>
      </c>
      <c r="G841" s="22">
        <v>22</v>
      </c>
      <c r="H841" s="22">
        <v>43</v>
      </c>
      <c r="I841" s="22">
        <v>0.1</v>
      </c>
      <c r="J841" s="22">
        <v>30</v>
      </c>
      <c r="K841" s="22">
        <v>13</v>
      </c>
      <c r="L841" s="22">
        <v>16</v>
      </c>
      <c r="M841" s="22" t="s">
        <v>1525</v>
      </c>
      <c r="N841" s="22" t="s">
        <v>1526</v>
      </c>
    </row>
    <row r="842" spans="1:14">
      <c r="A842" s="335">
        <v>835</v>
      </c>
      <c r="B842" s="39">
        <f t="shared" si="66"/>
        <v>394</v>
      </c>
      <c r="C842" s="39">
        <f t="shared" si="67"/>
        <v>454</v>
      </c>
      <c r="F842" s="25" t="s">
        <v>2555</v>
      </c>
      <c r="G842" s="22">
        <v>22</v>
      </c>
      <c r="H842" s="22">
        <v>10</v>
      </c>
      <c r="I842" s="22">
        <v>12</v>
      </c>
      <c r="J842" s="22">
        <v>6</v>
      </c>
      <c r="K842" s="22">
        <v>11</v>
      </c>
      <c r="L842" s="22">
        <v>52</v>
      </c>
      <c r="M842" s="22" t="s">
        <v>1527</v>
      </c>
      <c r="N842" s="22" t="s">
        <v>1528</v>
      </c>
    </row>
    <row r="843" spans="1:14">
      <c r="A843" s="335">
        <v>836</v>
      </c>
      <c r="B843" s="39">
        <f t="shared" si="66"/>
        <v>394</v>
      </c>
      <c r="C843" s="39">
        <f t="shared" si="67"/>
        <v>454</v>
      </c>
      <c r="F843" s="25" t="s">
        <v>2556</v>
      </c>
      <c r="G843" s="22">
        <v>22</v>
      </c>
      <c r="H843" s="22">
        <v>46</v>
      </c>
      <c r="I843" s="22">
        <v>31.9</v>
      </c>
      <c r="J843" s="22">
        <v>23</v>
      </c>
      <c r="K843" s="22">
        <v>33</v>
      </c>
      <c r="L843" s="22">
        <v>56</v>
      </c>
      <c r="M843" s="22" t="s">
        <v>1529</v>
      </c>
      <c r="N843" s="22" t="s">
        <v>1530</v>
      </c>
    </row>
    <row r="844" spans="1:14">
      <c r="A844" s="335">
        <v>837</v>
      </c>
      <c r="B844" s="39">
        <f t="shared" si="66"/>
        <v>394</v>
      </c>
      <c r="C844" s="39">
        <f t="shared" si="67"/>
        <v>454</v>
      </c>
      <c r="F844" s="25" t="s">
        <v>2557</v>
      </c>
      <c r="G844" s="22">
        <v>22</v>
      </c>
      <c r="H844" s="22">
        <v>50</v>
      </c>
      <c r="I844" s="22">
        <v>0.2</v>
      </c>
      <c r="J844" s="22">
        <v>24</v>
      </c>
      <c r="K844" s="22">
        <v>36</v>
      </c>
      <c r="L844" s="22">
        <v>6</v>
      </c>
      <c r="M844" s="22" t="s">
        <v>1531</v>
      </c>
      <c r="N844" s="22" t="s">
        <v>1532</v>
      </c>
    </row>
    <row r="845" spans="1:14">
      <c r="A845" s="335">
        <v>838</v>
      </c>
      <c r="B845" s="39">
        <f t="shared" si="66"/>
        <v>394</v>
      </c>
      <c r="C845" s="39">
        <f t="shared" si="67"/>
        <v>454</v>
      </c>
      <c r="F845" s="41" t="s">
        <v>3856</v>
      </c>
      <c r="G845" s="22">
        <v>22</v>
      </c>
      <c r="H845" s="22">
        <v>41</v>
      </c>
      <c r="I845" s="22">
        <v>45.4</v>
      </c>
      <c r="J845" s="22">
        <v>29</v>
      </c>
      <c r="K845" s="22">
        <v>18</v>
      </c>
      <c r="L845" s="22">
        <v>28</v>
      </c>
      <c r="M845" s="22" t="s">
        <v>3858</v>
      </c>
      <c r="N845" s="22" t="s">
        <v>3860</v>
      </c>
    </row>
    <row r="846" spans="1:14">
      <c r="A846" s="335">
        <v>839</v>
      </c>
      <c r="B846" s="39">
        <f t="shared" si="66"/>
        <v>394</v>
      </c>
      <c r="C846" s="39">
        <f t="shared" si="67"/>
        <v>454</v>
      </c>
      <c r="F846" s="25" t="s">
        <v>2558</v>
      </c>
      <c r="G846" s="22">
        <v>22</v>
      </c>
      <c r="H846" s="22">
        <v>9</v>
      </c>
      <c r="I846" s="22">
        <v>59.2</v>
      </c>
      <c r="J846" s="22">
        <v>33</v>
      </c>
      <c r="K846" s="22">
        <v>10</v>
      </c>
      <c r="L846" s="22">
        <v>42</v>
      </c>
      <c r="M846" s="22" t="s">
        <v>1533</v>
      </c>
      <c r="N846" s="22" t="s">
        <v>1534</v>
      </c>
    </row>
    <row r="847" spans="1:14">
      <c r="A847" s="335">
        <v>840</v>
      </c>
      <c r="B847" s="39">
        <f t="shared" si="66"/>
        <v>394</v>
      </c>
      <c r="C847" s="39">
        <f t="shared" si="67"/>
        <v>454</v>
      </c>
      <c r="F847" s="25" t="s">
        <v>2559</v>
      </c>
      <c r="G847" s="22">
        <v>23</v>
      </c>
      <c r="H847" s="22">
        <v>20</v>
      </c>
      <c r="I847" s="22">
        <v>38.200000000000003</v>
      </c>
      <c r="J847" s="22">
        <v>23</v>
      </c>
      <c r="K847" s="22">
        <v>44</v>
      </c>
      <c r="L847" s="22">
        <v>25</v>
      </c>
      <c r="M847" s="22" t="s">
        <v>1535</v>
      </c>
      <c r="N847" s="22" t="s">
        <v>1536</v>
      </c>
    </row>
    <row r="848" spans="1:14">
      <c r="A848" s="335">
        <v>841</v>
      </c>
      <c r="B848" s="39">
        <f t="shared" si="66"/>
        <v>394</v>
      </c>
      <c r="C848" s="39">
        <f t="shared" si="67"/>
        <v>454</v>
      </c>
      <c r="F848" s="25" t="s">
        <v>2560</v>
      </c>
      <c r="G848" s="22">
        <v>23</v>
      </c>
      <c r="H848" s="22">
        <v>25</v>
      </c>
      <c r="I848" s="22">
        <v>22.8</v>
      </c>
      <c r="J848" s="22">
        <v>23</v>
      </c>
      <c r="K848" s="22">
        <v>24</v>
      </c>
      <c r="L848" s="22">
        <v>15</v>
      </c>
      <c r="M848" s="22" t="s">
        <v>1537</v>
      </c>
      <c r="N848" s="22" t="s">
        <v>1538</v>
      </c>
    </row>
    <row r="849" spans="1:14">
      <c r="A849" s="335">
        <v>842</v>
      </c>
      <c r="B849" s="39">
        <f t="shared" si="66"/>
        <v>394</v>
      </c>
      <c r="C849" s="39">
        <f t="shared" si="67"/>
        <v>454</v>
      </c>
      <c r="F849" s="25" t="s">
        <v>2561</v>
      </c>
      <c r="G849" s="22">
        <v>23</v>
      </c>
      <c r="H849" s="22">
        <v>52</v>
      </c>
      <c r="I849" s="22">
        <v>29.3</v>
      </c>
      <c r="J849" s="22">
        <v>19</v>
      </c>
      <c r="K849" s="22">
        <v>7</v>
      </c>
      <c r="L849" s="22">
        <v>13</v>
      </c>
      <c r="M849" s="22" t="s">
        <v>1539</v>
      </c>
      <c r="N849" s="22" t="s">
        <v>1540</v>
      </c>
    </row>
    <row r="850" spans="1:14">
      <c r="A850" s="335">
        <v>843</v>
      </c>
      <c r="B850" s="39">
        <f t="shared" si="66"/>
        <v>394</v>
      </c>
      <c r="C850" s="39">
        <f t="shared" si="67"/>
        <v>454</v>
      </c>
      <c r="F850" s="25" t="s">
        <v>2562</v>
      </c>
      <c r="G850" s="22">
        <v>0</v>
      </c>
      <c r="H850" s="22">
        <v>14</v>
      </c>
      <c r="I850" s="22">
        <v>36.200000000000003</v>
      </c>
      <c r="J850" s="22">
        <v>20</v>
      </c>
      <c r="K850" s="22">
        <v>12</v>
      </c>
      <c r="L850" s="22">
        <v>24</v>
      </c>
      <c r="M850" s="22" t="s">
        <v>1541</v>
      </c>
      <c r="N850" s="22" t="s">
        <v>1542</v>
      </c>
    </row>
    <row r="851" spans="1:14">
      <c r="A851" s="335">
        <v>844</v>
      </c>
      <c r="B851" s="39">
        <f t="shared" si="66"/>
        <v>394</v>
      </c>
      <c r="C851" s="39">
        <f t="shared" si="67"/>
        <v>454</v>
      </c>
      <c r="F851" s="41" t="s">
        <v>3857</v>
      </c>
      <c r="G851" s="22">
        <v>23</v>
      </c>
      <c r="H851" s="22">
        <v>57</v>
      </c>
      <c r="I851" s="22">
        <v>45.5</v>
      </c>
      <c r="J851" s="22">
        <v>25</v>
      </c>
      <c r="K851" s="22">
        <v>8</v>
      </c>
      <c r="L851" s="22">
        <v>29</v>
      </c>
      <c r="M851" s="22" t="s">
        <v>3859</v>
      </c>
      <c r="N851" s="22" t="s">
        <v>3861</v>
      </c>
    </row>
    <row r="852" spans="1:14">
      <c r="A852" s="335">
        <v>845</v>
      </c>
      <c r="B852" s="39">
        <f t="shared" si="66"/>
        <v>394</v>
      </c>
      <c r="C852" s="39">
        <f t="shared" si="67"/>
        <v>454</v>
      </c>
      <c r="F852" s="27" t="s">
        <v>2563</v>
      </c>
      <c r="G852" s="26"/>
      <c r="H852" s="26"/>
      <c r="I852" s="26"/>
      <c r="J852" s="26"/>
      <c r="K852" s="26"/>
      <c r="L852" s="26"/>
      <c r="M852" s="26" t="s">
        <v>1543</v>
      </c>
      <c r="N852" s="26" t="s">
        <v>1544</v>
      </c>
    </row>
    <row r="853" spans="1:14">
      <c r="A853" s="335">
        <v>846</v>
      </c>
      <c r="B853" s="39">
        <f t="shared" si="66"/>
        <v>394</v>
      </c>
      <c r="C853" s="39">
        <f t="shared" si="67"/>
        <v>454</v>
      </c>
      <c r="F853" s="25" t="s">
        <v>2564</v>
      </c>
      <c r="G853" s="22">
        <v>5</v>
      </c>
      <c r="H853" s="22">
        <v>39</v>
      </c>
      <c r="I853" s="22">
        <v>38.9</v>
      </c>
      <c r="J853" s="22">
        <v>-34</v>
      </c>
      <c r="K853" s="22">
        <v>-4</v>
      </c>
      <c r="L853" s="22">
        <v>-27</v>
      </c>
      <c r="M853" s="22" t="s">
        <v>1545</v>
      </c>
      <c r="N853" s="22" t="s">
        <v>1546</v>
      </c>
    </row>
    <row r="854" spans="1:14">
      <c r="A854" s="335">
        <v>847</v>
      </c>
      <c r="B854" s="39">
        <f t="shared" si="66"/>
        <v>394</v>
      </c>
      <c r="C854" s="39">
        <f t="shared" si="67"/>
        <v>454</v>
      </c>
      <c r="F854" s="25" t="s">
        <v>2565</v>
      </c>
      <c r="G854" s="22">
        <v>5</v>
      </c>
      <c r="H854" s="22">
        <v>50</v>
      </c>
      <c r="I854" s="22">
        <v>57.6</v>
      </c>
      <c r="J854" s="22">
        <v>-35</v>
      </c>
      <c r="K854" s="22">
        <v>-46</v>
      </c>
      <c r="L854" s="22">
        <v>-6</v>
      </c>
      <c r="M854" s="22" t="s">
        <v>1547</v>
      </c>
      <c r="N854" s="22" t="s">
        <v>1548</v>
      </c>
    </row>
    <row r="855" spans="1:14">
      <c r="A855" s="335">
        <v>848</v>
      </c>
      <c r="B855" s="39">
        <f t="shared" si="66"/>
        <v>394</v>
      </c>
      <c r="C855" s="39">
        <f t="shared" si="67"/>
        <v>454</v>
      </c>
      <c r="F855" s="25" t="s">
        <v>2566</v>
      </c>
      <c r="G855" s="22">
        <v>6</v>
      </c>
      <c r="H855" s="22">
        <v>22</v>
      </c>
      <c r="I855" s="22">
        <v>6.8</v>
      </c>
      <c r="J855" s="22">
        <v>-33</v>
      </c>
      <c r="K855" s="22">
        <v>-26</v>
      </c>
      <c r="L855" s="22">
        <v>-11</v>
      </c>
      <c r="M855" s="22" t="s">
        <v>1549</v>
      </c>
      <c r="N855" s="22" t="s">
        <v>1550</v>
      </c>
    </row>
    <row r="856" spans="1:14">
      <c r="A856" s="335">
        <v>849</v>
      </c>
      <c r="B856" s="39">
        <f t="shared" si="66"/>
        <v>394</v>
      </c>
      <c r="C856" s="39">
        <f t="shared" si="67"/>
        <v>454</v>
      </c>
      <c r="F856" s="25" t="s">
        <v>2567</v>
      </c>
      <c r="G856" s="22">
        <v>5</v>
      </c>
      <c r="H856" s="22">
        <v>31</v>
      </c>
      <c r="I856" s="22">
        <v>12.8</v>
      </c>
      <c r="J856" s="22">
        <v>-35</v>
      </c>
      <c r="K856" s="22">
        <v>-28</v>
      </c>
      <c r="L856" s="22">
        <v>-14</v>
      </c>
      <c r="M856" s="22" t="s">
        <v>1551</v>
      </c>
      <c r="N856" s="22" t="s">
        <v>1552</v>
      </c>
    </row>
    <row r="857" spans="1:14">
      <c r="A857" s="335">
        <v>850</v>
      </c>
      <c r="B857" s="39">
        <f t="shared" si="66"/>
        <v>394</v>
      </c>
      <c r="C857" s="39">
        <f t="shared" si="67"/>
        <v>454</v>
      </c>
      <c r="F857" s="27" t="s">
        <v>2568</v>
      </c>
      <c r="G857" s="26"/>
      <c r="H857" s="26"/>
      <c r="I857" s="26"/>
      <c r="J857" s="26"/>
      <c r="K857" s="26"/>
      <c r="L857" s="26"/>
      <c r="M857" s="26" t="s">
        <v>1553</v>
      </c>
      <c r="N857" s="26" t="s">
        <v>1554</v>
      </c>
    </row>
    <row r="858" spans="1:14">
      <c r="A858" s="335">
        <v>851</v>
      </c>
      <c r="B858" s="39">
        <f t="shared" si="66"/>
        <v>394</v>
      </c>
      <c r="C858" s="39">
        <f t="shared" si="67"/>
        <v>454</v>
      </c>
      <c r="F858" s="25" t="s">
        <v>2569</v>
      </c>
      <c r="G858" s="22">
        <v>7</v>
      </c>
      <c r="H858" s="22">
        <v>49</v>
      </c>
      <c r="I858" s="22">
        <v>17.7</v>
      </c>
      <c r="J858" s="22">
        <v>-24</v>
      </c>
      <c r="K858" s="22">
        <v>-51</v>
      </c>
      <c r="L858" s="22">
        <v>-35</v>
      </c>
      <c r="M858" s="22" t="s">
        <v>1555</v>
      </c>
      <c r="N858" s="22" t="s">
        <v>1556</v>
      </c>
    </row>
    <row r="859" spans="1:14">
      <c r="A859" s="335">
        <v>852</v>
      </c>
      <c r="B859" s="39">
        <f t="shared" si="66"/>
        <v>394</v>
      </c>
      <c r="C859" s="39">
        <f t="shared" si="67"/>
        <v>454</v>
      </c>
      <c r="F859" s="25" t="s">
        <v>2570</v>
      </c>
      <c r="G859" s="22">
        <v>8</v>
      </c>
      <c r="H859" s="22">
        <v>7</v>
      </c>
      <c r="I859" s="22">
        <v>32.6</v>
      </c>
      <c r="J859" s="22">
        <v>-24</v>
      </c>
      <c r="K859" s="22">
        <v>-18</v>
      </c>
      <c r="L859" s="22">
        <v>-16</v>
      </c>
      <c r="M859" s="22" t="s">
        <v>1557</v>
      </c>
      <c r="N859" s="22" t="s">
        <v>1558</v>
      </c>
    </row>
    <row r="860" spans="1:14">
      <c r="A860" s="335">
        <v>853</v>
      </c>
      <c r="B860" s="39">
        <f t="shared" si="66"/>
        <v>394</v>
      </c>
      <c r="C860" s="39">
        <f t="shared" si="67"/>
        <v>454</v>
      </c>
      <c r="F860" s="27" t="s">
        <v>2571</v>
      </c>
      <c r="G860" s="26"/>
      <c r="H860" s="26"/>
      <c r="I860" s="26"/>
      <c r="J860" s="26"/>
      <c r="K860" s="26"/>
      <c r="L860" s="26"/>
      <c r="M860" s="26" t="s">
        <v>1559</v>
      </c>
      <c r="N860" s="26" t="s">
        <v>1560</v>
      </c>
    </row>
    <row r="861" spans="1:14">
      <c r="A861" s="335">
        <v>854</v>
      </c>
      <c r="B861" s="39">
        <f t="shared" si="66"/>
        <v>394</v>
      </c>
      <c r="C861" s="39">
        <f t="shared" si="67"/>
        <v>454</v>
      </c>
      <c r="F861" s="27" t="s">
        <v>2572</v>
      </c>
      <c r="G861" s="26"/>
      <c r="H861" s="26"/>
      <c r="I861" s="26"/>
      <c r="J861" s="26"/>
      <c r="K861" s="26"/>
      <c r="L861" s="26"/>
      <c r="M861" s="26" t="s">
        <v>1561</v>
      </c>
      <c r="N861" s="26" t="s">
        <v>1562</v>
      </c>
    </row>
    <row r="862" spans="1:14">
      <c r="A862" s="335">
        <v>855</v>
      </c>
      <c r="B862" s="39">
        <f t="shared" si="66"/>
        <v>394</v>
      </c>
      <c r="C862" s="39">
        <f t="shared" si="67"/>
        <v>454</v>
      </c>
      <c r="F862" s="25" t="s">
        <v>2573</v>
      </c>
      <c r="G862" s="22">
        <v>22</v>
      </c>
      <c r="H862" s="22">
        <v>31</v>
      </c>
      <c r="I862" s="22">
        <v>17.5</v>
      </c>
      <c r="J862" s="22">
        <v>50</v>
      </c>
      <c r="K862" s="22">
        <v>16</v>
      </c>
      <c r="L862" s="22">
        <v>57</v>
      </c>
      <c r="M862" s="22" t="s">
        <v>1563</v>
      </c>
      <c r="N862" s="22" t="s">
        <v>1564</v>
      </c>
    </row>
    <row r="863" spans="1:14">
      <c r="A863" s="335">
        <v>856</v>
      </c>
      <c r="B863" s="39">
        <f t="shared" si="66"/>
        <v>394</v>
      </c>
      <c r="C863" s="39">
        <f t="shared" si="67"/>
        <v>454</v>
      </c>
      <c r="F863" s="25" t="s">
        <v>2574</v>
      </c>
      <c r="G863" s="22">
        <v>22</v>
      </c>
      <c r="H863" s="22">
        <v>23</v>
      </c>
      <c r="I863" s="22">
        <v>33.6</v>
      </c>
      <c r="J863" s="22">
        <v>52</v>
      </c>
      <c r="K863" s="22">
        <v>13</v>
      </c>
      <c r="L863" s="22">
        <v>45</v>
      </c>
      <c r="M863" s="22" t="s">
        <v>1565</v>
      </c>
      <c r="N863" s="22" t="s">
        <v>1566</v>
      </c>
    </row>
    <row r="864" spans="1:14">
      <c r="A864" s="335">
        <v>857</v>
      </c>
      <c r="B864" s="39">
        <f t="shared" si="66"/>
        <v>394</v>
      </c>
      <c r="C864" s="39">
        <f t="shared" si="67"/>
        <v>454</v>
      </c>
      <c r="F864" s="27" t="s">
        <v>2575</v>
      </c>
      <c r="G864" s="26"/>
      <c r="H864" s="26"/>
      <c r="I864" s="26"/>
      <c r="J864" s="26"/>
      <c r="K864" s="26"/>
      <c r="L864" s="26"/>
      <c r="M864" s="26" t="s">
        <v>1567</v>
      </c>
      <c r="N864" s="26" t="s">
        <v>1568</v>
      </c>
    </row>
    <row r="865" spans="1:14">
      <c r="A865" s="335">
        <v>858</v>
      </c>
      <c r="B865" s="39">
        <f t="shared" si="66"/>
        <v>394</v>
      </c>
      <c r="C865" s="39">
        <f t="shared" si="67"/>
        <v>454</v>
      </c>
      <c r="F865" s="25" t="s">
        <v>2576</v>
      </c>
      <c r="G865" s="22">
        <v>16</v>
      </c>
      <c r="H865" s="22">
        <v>29</v>
      </c>
      <c r="I865" s="22">
        <v>24.4</v>
      </c>
      <c r="J865" s="22">
        <v>-26</v>
      </c>
      <c r="K865" s="22">
        <v>-25</v>
      </c>
      <c r="L865" s="22">
        <v>-55</v>
      </c>
      <c r="M865" s="22" t="s">
        <v>1569</v>
      </c>
      <c r="N865" s="23" t="s">
        <v>1570</v>
      </c>
    </row>
    <row r="866" spans="1:14">
      <c r="A866" s="335">
        <v>859</v>
      </c>
      <c r="B866" s="39">
        <f t="shared" si="66"/>
        <v>394</v>
      </c>
      <c r="C866" s="39">
        <f t="shared" si="67"/>
        <v>454</v>
      </c>
      <c r="F866" s="25" t="s">
        <v>2577</v>
      </c>
      <c r="G866" s="22">
        <v>16</v>
      </c>
      <c r="H866" s="22">
        <v>5</v>
      </c>
      <c r="I866" s="22">
        <v>26.2</v>
      </c>
      <c r="J866" s="22">
        <v>-19</v>
      </c>
      <c r="K866" s="22">
        <v>-48</v>
      </c>
      <c r="L866" s="22">
        <v>-19</v>
      </c>
      <c r="M866" s="22" t="s">
        <v>1571</v>
      </c>
      <c r="N866" s="23" t="s">
        <v>1572</v>
      </c>
    </row>
    <row r="867" spans="1:14">
      <c r="A867" s="335">
        <v>860</v>
      </c>
      <c r="B867" s="39">
        <f t="shared" si="66"/>
        <v>394</v>
      </c>
      <c r="C867" s="39">
        <f t="shared" si="67"/>
        <v>454</v>
      </c>
      <c r="F867" s="25" t="s">
        <v>2578</v>
      </c>
      <c r="G867" s="22">
        <v>16</v>
      </c>
      <c r="H867" s="22">
        <v>0</v>
      </c>
      <c r="I867" s="22">
        <v>20</v>
      </c>
      <c r="J867" s="22">
        <v>-22</v>
      </c>
      <c r="K867" s="22">
        <v>-37</v>
      </c>
      <c r="L867" s="22">
        <v>-17</v>
      </c>
      <c r="M867" s="22" t="s">
        <v>1573</v>
      </c>
      <c r="N867" s="23" t="s">
        <v>1574</v>
      </c>
    </row>
    <row r="868" spans="1:14">
      <c r="A868" s="335">
        <v>861</v>
      </c>
      <c r="B868" s="39">
        <f t="shared" si="66"/>
        <v>394</v>
      </c>
      <c r="C868" s="39">
        <f t="shared" si="67"/>
        <v>454</v>
      </c>
      <c r="F868" s="25" t="s">
        <v>2579</v>
      </c>
      <c r="G868" s="22">
        <v>16</v>
      </c>
      <c r="H868" s="22">
        <v>50</v>
      </c>
      <c r="I868" s="22">
        <v>9.8000000000000007</v>
      </c>
      <c r="J868" s="22">
        <v>-34</v>
      </c>
      <c r="K868" s="22">
        <v>-17</v>
      </c>
      <c r="L868" s="22">
        <v>-35</v>
      </c>
      <c r="M868" s="22" t="s">
        <v>1575</v>
      </c>
      <c r="N868" s="23" t="s">
        <v>1576</v>
      </c>
    </row>
    <row r="869" spans="1:14">
      <c r="A869" s="335">
        <v>862</v>
      </c>
      <c r="B869" s="39">
        <f t="shared" si="66"/>
        <v>394</v>
      </c>
      <c r="C869" s="39">
        <f t="shared" si="67"/>
        <v>454</v>
      </c>
      <c r="F869" s="25" t="s">
        <v>2580</v>
      </c>
      <c r="G869" s="22">
        <v>16</v>
      </c>
      <c r="H869" s="22">
        <v>54</v>
      </c>
      <c r="I869" s="22">
        <v>33</v>
      </c>
      <c r="J869" s="22">
        <v>-42</v>
      </c>
      <c r="K869" s="22">
        <v>-21</v>
      </c>
      <c r="L869" s="22">
        <v>-41</v>
      </c>
      <c r="M869" s="22" t="s">
        <v>1577</v>
      </c>
      <c r="N869" s="23" t="s">
        <v>1578</v>
      </c>
    </row>
    <row r="870" spans="1:14">
      <c r="A870" s="335">
        <v>863</v>
      </c>
      <c r="B870" s="39">
        <f t="shared" si="66"/>
        <v>394</v>
      </c>
      <c r="C870" s="39">
        <f t="shared" si="67"/>
        <v>454</v>
      </c>
      <c r="F870" s="25" t="s">
        <v>2581</v>
      </c>
      <c r="G870" s="22">
        <v>17</v>
      </c>
      <c r="H870" s="22">
        <v>12</v>
      </c>
      <c r="I870" s="22">
        <v>9.1999999999999993</v>
      </c>
      <c r="J870" s="22">
        <v>-43</v>
      </c>
      <c r="K870" s="22">
        <v>-14</v>
      </c>
      <c r="L870" s="22">
        <v>-21</v>
      </c>
      <c r="M870" s="22" t="s">
        <v>1579</v>
      </c>
      <c r="N870" s="23" t="s">
        <v>1580</v>
      </c>
    </row>
    <row r="871" spans="1:14">
      <c r="A871" s="335">
        <v>864</v>
      </c>
      <c r="B871" s="39">
        <f t="shared" si="66"/>
        <v>394</v>
      </c>
      <c r="C871" s="39">
        <f t="shared" si="67"/>
        <v>454</v>
      </c>
      <c r="F871" s="25" t="s">
        <v>2582</v>
      </c>
      <c r="G871" s="22">
        <v>17</v>
      </c>
      <c r="H871" s="22">
        <v>37</v>
      </c>
      <c r="I871" s="22">
        <v>19.2</v>
      </c>
      <c r="J871" s="22">
        <v>-42</v>
      </c>
      <c r="K871" s="22">
        <v>-59</v>
      </c>
      <c r="L871" s="22">
        <v>-52</v>
      </c>
      <c r="M871" s="22" t="s">
        <v>1581</v>
      </c>
      <c r="N871" s="23" t="s">
        <v>1582</v>
      </c>
    </row>
    <row r="872" spans="1:14">
      <c r="A872" s="335">
        <v>865</v>
      </c>
      <c r="B872" s="39">
        <f t="shared" si="66"/>
        <v>394</v>
      </c>
      <c r="C872" s="39">
        <f t="shared" si="67"/>
        <v>454</v>
      </c>
      <c r="F872" s="41" t="s">
        <v>3828</v>
      </c>
      <c r="G872" s="22">
        <v>17</v>
      </c>
      <c r="H872" s="22">
        <v>47</v>
      </c>
      <c r="I872" s="22">
        <v>35.1</v>
      </c>
      <c r="J872" s="22">
        <v>-40</v>
      </c>
      <c r="K872" s="22">
        <v>-7</v>
      </c>
      <c r="L872" s="22">
        <v>-37</v>
      </c>
      <c r="M872" s="22" t="s">
        <v>3829</v>
      </c>
      <c r="N872" s="23" t="s">
        <v>3830</v>
      </c>
    </row>
    <row r="873" spans="1:14">
      <c r="A873" s="335">
        <v>866</v>
      </c>
      <c r="B873" s="39">
        <f t="shared" si="66"/>
        <v>394</v>
      </c>
      <c r="C873" s="39">
        <f t="shared" si="67"/>
        <v>454</v>
      </c>
      <c r="F873" s="25" t="s">
        <v>2583</v>
      </c>
      <c r="G873" s="22">
        <v>17</v>
      </c>
      <c r="H873" s="22">
        <v>42</v>
      </c>
      <c r="I873" s="22">
        <v>29.3</v>
      </c>
      <c r="J873" s="22">
        <v>-39</v>
      </c>
      <c r="K873" s="22">
        <v>-1</v>
      </c>
      <c r="L873" s="22">
        <v>-48</v>
      </c>
      <c r="M873" s="22" t="s">
        <v>1583</v>
      </c>
      <c r="N873" s="23" t="s">
        <v>1584</v>
      </c>
    </row>
    <row r="874" spans="1:14">
      <c r="A874" s="335">
        <v>867</v>
      </c>
      <c r="B874" s="39">
        <f t="shared" si="66"/>
        <v>394</v>
      </c>
      <c r="C874" s="39">
        <f t="shared" si="67"/>
        <v>454</v>
      </c>
      <c r="F874" s="25" t="s">
        <v>2584</v>
      </c>
      <c r="G874" s="22">
        <v>17</v>
      </c>
      <c r="H874" s="22">
        <v>33</v>
      </c>
      <c r="I874" s="22">
        <v>36.6</v>
      </c>
      <c r="J874" s="22">
        <v>-37</v>
      </c>
      <c r="K874" s="22">
        <v>-6</v>
      </c>
      <c r="L874" s="22">
        <v>-14</v>
      </c>
      <c r="M874" s="22" t="s">
        <v>1585</v>
      </c>
      <c r="N874" s="23" t="s">
        <v>1586</v>
      </c>
    </row>
    <row r="875" spans="1:14">
      <c r="A875" s="335">
        <v>868</v>
      </c>
      <c r="B875" s="39">
        <f t="shared" si="66"/>
        <v>394</v>
      </c>
      <c r="C875" s="39">
        <f t="shared" si="67"/>
        <v>454</v>
      </c>
      <c r="F875" s="25" t="s">
        <v>2585</v>
      </c>
      <c r="G875" s="22">
        <v>16</v>
      </c>
      <c r="H875" s="22">
        <v>51</v>
      </c>
      <c r="I875" s="22">
        <v>52.2</v>
      </c>
      <c r="J875" s="22">
        <v>-38</v>
      </c>
      <c r="K875" s="22">
        <v>-2</v>
      </c>
      <c r="L875" s="22">
        <v>-51</v>
      </c>
      <c r="M875" s="22" t="s">
        <v>1587</v>
      </c>
      <c r="N875" s="23" t="s">
        <v>1588</v>
      </c>
    </row>
    <row r="876" spans="1:14">
      <c r="A876" s="335">
        <v>869</v>
      </c>
      <c r="B876" s="39">
        <f t="shared" si="66"/>
        <v>394</v>
      </c>
      <c r="C876" s="39">
        <f t="shared" si="67"/>
        <v>454</v>
      </c>
      <c r="F876" s="25" t="s">
        <v>2586</v>
      </c>
      <c r="G876" s="22">
        <v>16</v>
      </c>
      <c r="H876" s="22">
        <v>11</v>
      </c>
      <c r="I876" s="22">
        <v>59.7</v>
      </c>
      <c r="J876" s="22">
        <v>-19</v>
      </c>
      <c r="K876" s="22">
        <v>-27</v>
      </c>
      <c r="L876" s="22">
        <v>-38</v>
      </c>
      <c r="M876" s="22" t="s">
        <v>1589</v>
      </c>
      <c r="N876" s="23" t="s">
        <v>1590</v>
      </c>
    </row>
    <row r="877" spans="1:14">
      <c r="A877" s="335">
        <v>870</v>
      </c>
      <c r="B877" s="39">
        <f t="shared" si="66"/>
        <v>394</v>
      </c>
      <c r="C877" s="39">
        <f t="shared" si="67"/>
        <v>454</v>
      </c>
      <c r="F877" s="25" t="s">
        <v>2587</v>
      </c>
      <c r="G877" s="22">
        <v>15</v>
      </c>
      <c r="H877" s="22">
        <v>58</v>
      </c>
      <c r="I877" s="22">
        <v>51.1</v>
      </c>
      <c r="J877" s="22">
        <v>-26</v>
      </c>
      <c r="K877" s="22">
        <v>-6</v>
      </c>
      <c r="L877" s="22">
        <v>-51</v>
      </c>
      <c r="M877" s="22" t="s">
        <v>1591</v>
      </c>
      <c r="N877" s="23" t="s">
        <v>1592</v>
      </c>
    </row>
    <row r="878" spans="1:14">
      <c r="A878" s="335">
        <v>871</v>
      </c>
      <c r="B878" s="39">
        <f t="shared" si="66"/>
        <v>394</v>
      </c>
      <c r="C878" s="39">
        <f t="shared" si="67"/>
        <v>454</v>
      </c>
      <c r="F878" s="25" t="s">
        <v>2588</v>
      </c>
      <c r="G878" s="22">
        <v>16</v>
      </c>
      <c r="H878" s="22">
        <v>21</v>
      </c>
      <c r="I878" s="22">
        <v>11.3</v>
      </c>
      <c r="J878" s="22">
        <v>-25</v>
      </c>
      <c r="K878" s="22">
        <v>-35</v>
      </c>
      <c r="L878" s="22">
        <v>-34</v>
      </c>
      <c r="M878" s="22" t="s">
        <v>1593</v>
      </c>
      <c r="N878" s="23" t="s">
        <v>1594</v>
      </c>
    </row>
    <row r="879" spans="1:14">
      <c r="A879" s="335">
        <v>872</v>
      </c>
      <c r="B879" s="39">
        <f t="shared" si="66"/>
        <v>394</v>
      </c>
      <c r="C879" s="39">
        <f t="shared" si="67"/>
        <v>454</v>
      </c>
      <c r="F879" s="25" t="s">
        <v>2589</v>
      </c>
      <c r="G879" s="22">
        <v>16</v>
      </c>
      <c r="H879" s="22">
        <v>35</v>
      </c>
      <c r="I879" s="22">
        <v>53</v>
      </c>
      <c r="J879" s="22">
        <v>-28</v>
      </c>
      <c r="K879" s="22">
        <v>-12</v>
      </c>
      <c r="L879" s="22">
        <v>-58</v>
      </c>
      <c r="M879" s="22" t="s">
        <v>1595</v>
      </c>
      <c r="N879" s="23" t="s">
        <v>1596</v>
      </c>
    </row>
    <row r="880" spans="1:14">
      <c r="A880" s="335">
        <v>873</v>
      </c>
      <c r="B880" s="39">
        <f t="shared" si="66"/>
        <v>394</v>
      </c>
      <c r="C880" s="39">
        <f t="shared" si="67"/>
        <v>454</v>
      </c>
      <c r="F880" s="25" t="s">
        <v>2590</v>
      </c>
      <c r="G880" s="22">
        <v>17</v>
      </c>
      <c r="H880" s="22">
        <v>30</v>
      </c>
      <c r="I880" s="22">
        <v>45.8</v>
      </c>
      <c r="J880" s="22">
        <v>-37</v>
      </c>
      <c r="K880" s="22">
        <v>-17</v>
      </c>
      <c r="L880" s="22">
        <v>-45</v>
      </c>
      <c r="M880" s="22" t="s">
        <v>1597</v>
      </c>
      <c r="N880" s="23" t="s">
        <v>1598</v>
      </c>
    </row>
    <row r="881" spans="1:14">
      <c r="A881" s="335">
        <v>874</v>
      </c>
      <c r="B881" s="39">
        <f t="shared" si="66"/>
        <v>394</v>
      </c>
      <c r="C881" s="39">
        <f t="shared" si="67"/>
        <v>454</v>
      </c>
      <c r="F881" s="27" t="s">
        <v>2690</v>
      </c>
      <c r="G881" s="26"/>
      <c r="H881" s="26"/>
      <c r="I881" s="26"/>
      <c r="J881" s="26"/>
      <c r="K881" s="26"/>
      <c r="L881" s="26"/>
      <c r="M881" s="26" t="s">
        <v>1599</v>
      </c>
      <c r="N881" s="30" t="s">
        <v>1600</v>
      </c>
    </row>
    <row r="882" spans="1:14">
      <c r="A882" s="335">
        <v>875</v>
      </c>
      <c r="B882" s="39">
        <f t="shared" si="66"/>
        <v>394</v>
      </c>
      <c r="C882" s="39">
        <f t="shared" si="67"/>
        <v>454</v>
      </c>
      <c r="F882" s="25" t="s">
        <v>3802</v>
      </c>
      <c r="G882" s="22">
        <v>15</v>
      </c>
      <c r="H882" s="22">
        <v>34</v>
      </c>
      <c r="I882" s="22">
        <v>41.3</v>
      </c>
      <c r="J882" s="22">
        <v>26</v>
      </c>
      <c r="K882" s="22">
        <v>42</v>
      </c>
      <c r="L882" s="22">
        <v>53</v>
      </c>
      <c r="M882" s="22" t="s">
        <v>1601</v>
      </c>
      <c r="N882" s="23" t="s">
        <v>1602</v>
      </c>
    </row>
    <row r="883" spans="1:14">
      <c r="A883" s="335">
        <v>876</v>
      </c>
      <c r="B883" s="39">
        <f t="shared" si="66"/>
        <v>394</v>
      </c>
      <c r="C883" s="39">
        <f t="shared" si="67"/>
        <v>454</v>
      </c>
      <c r="F883" s="25" t="s">
        <v>3804</v>
      </c>
      <c r="G883" s="22">
        <v>15</v>
      </c>
      <c r="H883" s="22">
        <v>27</v>
      </c>
      <c r="I883" s="22">
        <v>49.7</v>
      </c>
      <c r="J883" s="22">
        <v>29</v>
      </c>
      <c r="K883" s="22">
        <v>6</v>
      </c>
      <c r="L883" s="22">
        <v>21</v>
      </c>
      <c r="M883" s="22" t="s">
        <v>1603</v>
      </c>
      <c r="N883" s="23" t="s">
        <v>1604</v>
      </c>
    </row>
    <row r="884" spans="1:14">
      <c r="A884" s="335">
        <v>877</v>
      </c>
      <c r="B884" s="39">
        <f t="shared" si="66"/>
        <v>394</v>
      </c>
      <c r="C884" s="39">
        <f t="shared" si="67"/>
        <v>454</v>
      </c>
      <c r="F884" s="25" t="s">
        <v>3803</v>
      </c>
      <c r="G884" s="22">
        <v>15</v>
      </c>
      <c r="H884" s="22">
        <v>42</v>
      </c>
      <c r="I884" s="22">
        <v>44.6</v>
      </c>
      <c r="J884" s="22">
        <v>26</v>
      </c>
      <c r="K884" s="22">
        <v>17</v>
      </c>
      <c r="L884" s="22">
        <v>44</v>
      </c>
      <c r="M884" s="22" t="s">
        <v>1605</v>
      </c>
      <c r="N884" s="23" t="s">
        <v>1606</v>
      </c>
    </row>
    <row r="885" spans="1:14">
      <c r="A885" s="335">
        <v>878</v>
      </c>
      <c r="B885" s="39">
        <f t="shared" si="66"/>
        <v>394</v>
      </c>
      <c r="C885" s="39">
        <f t="shared" si="67"/>
        <v>454</v>
      </c>
      <c r="F885" s="25" t="s">
        <v>3805</v>
      </c>
      <c r="G885" s="22">
        <v>15</v>
      </c>
      <c r="H885" s="22">
        <v>49</v>
      </c>
      <c r="I885" s="22">
        <v>35.6</v>
      </c>
      <c r="J885" s="22">
        <v>26</v>
      </c>
      <c r="K885" s="22">
        <v>4</v>
      </c>
      <c r="L885" s="22">
        <v>6</v>
      </c>
      <c r="M885" s="22" t="s">
        <v>1607</v>
      </c>
      <c r="N885" s="23" t="s">
        <v>1608</v>
      </c>
    </row>
    <row r="886" spans="1:14">
      <c r="A886" s="335">
        <v>879</v>
      </c>
      <c r="B886" s="39">
        <f t="shared" si="66"/>
        <v>394</v>
      </c>
      <c r="C886" s="39">
        <f t="shared" si="67"/>
        <v>454</v>
      </c>
      <c r="F886" s="25" t="s">
        <v>3806</v>
      </c>
      <c r="G886" s="22">
        <v>15</v>
      </c>
      <c r="H886" s="22">
        <v>57</v>
      </c>
      <c r="I886" s="22">
        <v>35.299999999999997</v>
      </c>
      <c r="J886" s="22">
        <v>26</v>
      </c>
      <c r="K886" s="22">
        <v>52</v>
      </c>
      <c r="L886" s="22">
        <v>40</v>
      </c>
      <c r="M886" s="22" t="s">
        <v>1609</v>
      </c>
      <c r="N886" s="23" t="s">
        <v>1610</v>
      </c>
    </row>
    <row r="887" spans="1:14">
      <c r="A887" s="335">
        <v>880</v>
      </c>
      <c r="B887" s="39">
        <f t="shared" si="66"/>
        <v>394</v>
      </c>
      <c r="C887" s="39">
        <f t="shared" si="67"/>
        <v>454</v>
      </c>
      <c r="F887" s="25" t="s">
        <v>3807</v>
      </c>
      <c r="G887" s="22">
        <v>15</v>
      </c>
      <c r="H887" s="22">
        <v>39</v>
      </c>
      <c r="I887" s="22">
        <v>22.2</v>
      </c>
      <c r="J887" s="22">
        <v>36</v>
      </c>
      <c r="K887" s="22">
        <v>38</v>
      </c>
      <c r="L887" s="22">
        <v>13</v>
      </c>
      <c r="M887" s="22" t="s">
        <v>1611</v>
      </c>
      <c r="N887" s="23" t="s">
        <v>1612</v>
      </c>
    </row>
    <row r="888" spans="1:14">
      <c r="A888" s="335">
        <v>881</v>
      </c>
      <c r="B888" s="39">
        <f t="shared" si="66"/>
        <v>394</v>
      </c>
      <c r="C888" s="39">
        <f t="shared" si="67"/>
        <v>454</v>
      </c>
      <c r="F888" s="41" t="s">
        <v>3819</v>
      </c>
      <c r="G888" s="22">
        <v>15</v>
      </c>
      <c r="H888" s="22">
        <v>32</v>
      </c>
      <c r="I888" s="22">
        <v>55.8</v>
      </c>
      <c r="J888" s="22">
        <v>31</v>
      </c>
      <c r="K888" s="22">
        <v>21</v>
      </c>
      <c r="L888" s="22">
        <v>33</v>
      </c>
      <c r="M888" s="22" t="s">
        <v>3973</v>
      </c>
      <c r="N888" s="23" t="s">
        <v>3974</v>
      </c>
    </row>
    <row r="889" spans="1:14">
      <c r="A889" s="335">
        <v>882</v>
      </c>
      <c r="B889" s="39">
        <f t="shared" si="66"/>
        <v>394</v>
      </c>
      <c r="C889" s="39">
        <f t="shared" si="67"/>
        <v>454</v>
      </c>
      <c r="F889" s="25" t="s">
        <v>3808</v>
      </c>
      <c r="G889" s="22">
        <v>16</v>
      </c>
      <c r="H889" s="22">
        <v>1</v>
      </c>
      <c r="I889" s="22">
        <v>26.6</v>
      </c>
      <c r="J889" s="22">
        <v>29</v>
      </c>
      <c r="K889" s="22">
        <v>51</v>
      </c>
      <c r="L889" s="22">
        <v>4</v>
      </c>
      <c r="M889" s="22" t="s">
        <v>1613</v>
      </c>
      <c r="N889" s="23" t="s">
        <v>1614</v>
      </c>
    </row>
    <row r="890" spans="1:14">
      <c r="A890" s="335">
        <v>883</v>
      </c>
      <c r="B890" s="39">
        <f t="shared" si="66"/>
        <v>394</v>
      </c>
      <c r="C890" s="39">
        <f t="shared" si="67"/>
        <v>454</v>
      </c>
      <c r="F890" s="25" t="s">
        <v>3801</v>
      </c>
      <c r="G890" s="22">
        <v>15</v>
      </c>
      <c r="H890" s="22">
        <v>51</v>
      </c>
      <c r="I890" s="22">
        <v>13.9</v>
      </c>
      <c r="J890" s="22">
        <v>35</v>
      </c>
      <c r="K890" s="22">
        <v>39</v>
      </c>
      <c r="L890" s="22">
        <v>27</v>
      </c>
      <c r="M890" s="22" t="s">
        <v>1615</v>
      </c>
      <c r="N890" s="23" t="s">
        <v>1616</v>
      </c>
    </row>
    <row r="891" spans="1:14">
      <c r="A891" s="335">
        <v>884</v>
      </c>
      <c r="B891" s="39">
        <f t="shared" si="66"/>
        <v>394</v>
      </c>
      <c r="C891" s="39">
        <f t="shared" si="67"/>
        <v>454</v>
      </c>
      <c r="F891" s="25" t="s">
        <v>3809</v>
      </c>
      <c r="G891" s="22">
        <v>15</v>
      </c>
      <c r="H891" s="22">
        <v>43</v>
      </c>
      <c r="I891" s="22">
        <v>59.3</v>
      </c>
      <c r="J891" s="22">
        <v>32</v>
      </c>
      <c r="K891" s="22">
        <v>30</v>
      </c>
      <c r="L891" s="22">
        <v>57</v>
      </c>
      <c r="M891" s="22" t="s">
        <v>1617</v>
      </c>
      <c r="N891" s="23" t="s">
        <v>1618</v>
      </c>
    </row>
    <row r="892" spans="1:14">
      <c r="A892" s="335">
        <v>885</v>
      </c>
      <c r="B892" s="39">
        <f t="shared" si="66"/>
        <v>394</v>
      </c>
      <c r="C892" s="39">
        <f t="shared" si="67"/>
        <v>454</v>
      </c>
      <c r="F892" s="41" t="s">
        <v>3818</v>
      </c>
      <c r="G892" s="22">
        <v>16</v>
      </c>
      <c r="H892" s="22">
        <v>1</v>
      </c>
      <c r="I892" s="22">
        <v>2.7</v>
      </c>
      <c r="J892" s="22">
        <v>33</v>
      </c>
      <c r="K892" s="22">
        <v>18</v>
      </c>
      <c r="L892" s="22">
        <v>13</v>
      </c>
      <c r="M892" s="22" t="s">
        <v>3975</v>
      </c>
      <c r="N892" s="23" t="s">
        <v>3976</v>
      </c>
    </row>
    <row r="893" spans="1:14">
      <c r="A893" s="335">
        <v>886</v>
      </c>
      <c r="B893" s="39">
        <f t="shared" si="66"/>
        <v>394</v>
      </c>
      <c r="C893" s="39">
        <f t="shared" si="67"/>
        <v>454</v>
      </c>
      <c r="F893" s="25" t="s">
        <v>3810</v>
      </c>
      <c r="G893" s="22">
        <v>16</v>
      </c>
      <c r="H893" s="22">
        <v>14</v>
      </c>
      <c r="I893" s="22">
        <v>40.9</v>
      </c>
      <c r="J893" s="22">
        <v>33</v>
      </c>
      <c r="K893" s="22">
        <v>51</v>
      </c>
      <c r="L893" s="22">
        <v>31</v>
      </c>
      <c r="M893" s="22" t="s">
        <v>1619</v>
      </c>
      <c r="N893" s="23" t="s">
        <v>1620</v>
      </c>
    </row>
    <row r="894" spans="1:14">
      <c r="A894" s="335">
        <v>887</v>
      </c>
      <c r="B894" s="39">
        <f t="shared" si="66"/>
        <v>394</v>
      </c>
      <c r="C894" s="39">
        <f t="shared" si="67"/>
        <v>454</v>
      </c>
      <c r="F894" s="27" t="s">
        <v>2691</v>
      </c>
      <c r="G894" s="26"/>
      <c r="H894" s="26"/>
      <c r="I894" s="26"/>
      <c r="J894" s="26"/>
      <c r="K894" s="26"/>
      <c r="L894" s="26"/>
      <c r="M894" s="26" t="s">
        <v>1621</v>
      </c>
      <c r="N894" s="30" t="s">
        <v>1622</v>
      </c>
    </row>
    <row r="895" spans="1:14">
      <c r="A895" s="335">
        <v>888</v>
      </c>
      <c r="B895" s="39">
        <f t="shared" si="66"/>
        <v>394</v>
      </c>
      <c r="C895" s="39">
        <f t="shared" si="67"/>
        <v>454</v>
      </c>
      <c r="F895" s="25" t="s">
        <v>2591</v>
      </c>
      <c r="G895" s="22">
        <v>19</v>
      </c>
      <c r="H895" s="22">
        <v>9</v>
      </c>
      <c r="I895" s="22">
        <v>28.3</v>
      </c>
      <c r="J895" s="22">
        <v>-37</v>
      </c>
      <c r="K895" s="22">
        <v>-54</v>
      </c>
      <c r="L895" s="22">
        <v>-16</v>
      </c>
      <c r="M895" s="22" t="s">
        <v>1623</v>
      </c>
      <c r="N895" s="23" t="s">
        <v>1624</v>
      </c>
    </row>
    <row r="896" spans="1:14">
      <c r="A896" s="335">
        <v>889</v>
      </c>
      <c r="B896" s="39">
        <f t="shared" si="66"/>
        <v>394</v>
      </c>
      <c r="C896" s="39">
        <f t="shared" si="67"/>
        <v>454</v>
      </c>
      <c r="F896" s="25" t="s">
        <v>2592</v>
      </c>
      <c r="G896" s="22">
        <v>19</v>
      </c>
      <c r="H896" s="22">
        <v>10</v>
      </c>
      <c r="I896" s="22">
        <v>1.8</v>
      </c>
      <c r="J896" s="22">
        <v>-39</v>
      </c>
      <c r="K896" s="22">
        <v>-20</v>
      </c>
      <c r="L896" s="22">
        <v>-27</v>
      </c>
      <c r="M896" s="22" t="s">
        <v>1625</v>
      </c>
      <c r="N896" s="23" t="s">
        <v>1626</v>
      </c>
    </row>
    <row r="897" spans="1:14">
      <c r="A897" s="335">
        <v>890</v>
      </c>
      <c r="B897" s="39">
        <f t="shared" si="66"/>
        <v>394</v>
      </c>
      <c r="C897" s="39">
        <f t="shared" si="67"/>
        <v>454</v>
      </c>
      <c r="F897" s="25" t="s">
        <v>2593</v>
      </c>
      <c r="G897" s="22">
        <v>19</v>
      </c>
      <c r="H897" s="22">
        <v>6</v>
      </c>
      <c r="I897" s="22">
        <v>25.1</v>
      </c>
      <c r="J897" s="22">
        <v>-37</v>
      </c>
      <c r="K897" s="22">
        <v>-3</v>
      </c>
      <c r="L897" s="22">
        <v>-48</v>
      </c>
      <c r="M897" s="22" t="s">
        <v>1627</v>
      </c>
      <c r="N897" s="23" t="s">
        <v>1628</v>
      </c>
    </row>
    <row r="898" spans="1:14">
      <c r="A898" s="335">
        <v>891</v>
      </c>
      <c r="B898" s="39">
        <f t="shared" si="66"/>
        <v>394</v>
      </c>
      <c r="C898" s="39">
        <f t="shared" si="67"/>
        <v>454</v>
      </c>
      <c r="F898" s="27" t="s">
        <v>2594</v>
      </c>
      <c r="G898" s="26"/>
      <c r="H898" s="26"/>
      <c r="I898" s="26"/>
      <c r="J898" s="26"/>
      <c r="K898" s="26"/>
      <c r="L898" s="26"/>
      <c r="M898" s="26" t="s">
        <v>1629</v>
      </c>
      <c r="N898" s="26" t="s">
        <v>1630</v>
      </c>
    </row>
    <row r="899" spans="1:14">
      <c r="A899" s="335">
        <v>892</v>
      </c>
      <c r="B899" s="39">
        <f t="shared" si="66"/>
        <v>394</v>
      </c>
      <c r="C899" s="39">
        <f t="shared" si="67"/>
        <v>454</v>
      </c>
      <c r="F899" s="25" t="s">
        <v>2595</v>
      </c>
      <c r="G899" s="22">
        <v>4</v>
      </c>
      <c r="H899" s="22">
        <v>35</v>
      </c>
      <c r="I899" s="22">
        <v>55.2</v>
      </c>
      <c r="J899" s="22">
        <v>16</v>
      </c>
      <c r="K899" s="22">
        <v>30</v>
      </c>
      <c r="L899" s="22">
        <v>33</v>
      </c>
      <c r="M899" s="22" t="s">
        <v>1631</v>
      </c>
      <c r="N899" s="22" t="s">
        <v>1632</v>
      </c>
    </row>
    <row r="900" spans="1:14">
      <c r="A900" s="335">
        <v>893</v>
      </c>
      <c r="B900" s="39">
        <f t="shared" si="66"/>
        <v>394</v>
      </c>
      <c r="C900" s="39">
        <f t="shared" si="67"/>
        <v>454</v>
      </c>
      <c r="F900" s="25" t="s">
        <v>2596</v>
      </c>
      <c r="G900" s="22">
        <v>5</v>
      </c>
      <c r="H900" s="22">
        <v>26</v>
      </c>
      <c r="I900" s="22">
        <v>17.5</v>
      </c>
      <c r="J900" s="22">
        <v>28</v>
      </c>
      <c r="K900" s="22">
        <v>38</v>
      </c>
      <c r="L900" s="22">
        <v>27</v>
      </c>
      <c r="M900" s="22" t="s">
        <v>1633</v>
      </c>
      <c r="N900" s="22" t="s">
        <v>1634</v>
      </c>
    </row>
    <row r="901" spans="1:14">
      <c r="A901" s="335">
        <v>894</v>
      </c>
      <c r="B901" s="39">
        <f t="shared" si="66"/>
        <v>394</v>
      </c>
      <c r="C901" s="39">
        <f t="shared" si="67"/>
        <v>454</v>
      </c>
      <c r="F901" s="25" t="s">
        <v>2597</v>
      </c>
      <c r="G901" s="22">
        <v>5</v>
      </c>
      <c r="H901" s="22">
        <v>37</v>
      </c>
      <c r="I901" s="22">
        <v>38.700000000000003</v>
      </c>
      <c r="J901" s="22">
        <v>21</v>
      </c>
      <c r="K901" s="22">
        <v>8</v>
      </c>
      <c r="L901" s="22">
        <v>33</v>
      </c>
      <c r="M901" s="22" t="s">
        <v>1635</v>
      </c>
      <c r="N901" s="22" t="s">
        <v>1636</v>
      </c>
    </row>
    <row r="902" spans="1:14">
      <c r="A902" s="335">
        <v>895</v>
      </c>
      <c r="B902" s="39">
        <f t="shared" ref="B902:B965" si="68">IF(B901=F902,A902,B901)</f>
        <v>394</v>
      </c>
      <c r="C902" s="39">
        <f t="shared" ref="C902:C965" si="69" xml:space="preserve"> IF(C901=F902,A902,C901)</f>
        <v>454</v>
      </c>
      <c r="F902" s="25" t="s">
        <v>2598</v>
      </c>
      <c r="G902" s="22">
        <v>3</v>
      </c>
      <c r="H902" s="22">
        <v>47</v>
      </c>
      <c r="I902" s="22">
        <v>29.08</v>
      </c>
      <c r="J902" s="22">
        <v>24</v>
      </c>
      <c r="K902" s="22">
        <v>6</v>
      </c>
      <c r="L902" s="22">
        <v>18</v>
      </c>
      <c r="M902" s="22" t="s">
        <v>1637</v>
      </c>
      <c r="N902" s="22" t="s">
        <v>1638</v>
      </c>
    </row>
    <row r="903" spans="1:14">
      <c r="A903" s="335">
        <v>896</v>
      </c>
      <c r="B903" s="39">
        <f t="shared" si="68"/>
        <v>394</v>
      </c>
      <c r="C903" s="39">
        <f t="shared" si="69"/>
        <v>454</v>
      </c>
      <c r="F903" s="25" t="s">
        <v>2599</v>
      </c>
      <c r="G903" s="22">
        <v>4</v>
      </c>
      <c r="H903" s="22">
        <v>0</v>
      </c>
      <c r="I903" s="22">
        <v>40.799999999999997</v>
      </c>
      <c r="J903" s="22">
        <v>12</v>
      </c>
      <c r="K903" s="22">
        <v>29</v>
      </c>
      <c r="L903" s="22">
        <v>25</v>
      </c>
      <c r="M903" s="22" t="s">
        <v>1639</v>
      </c>
      <c r="N903" s="22" t="s">
        <v>1640</v>
      </c>
    </row>
    <row r="904" spans="1:14">
      <c r="A904" s="335">
        <v>897</v>
      </c>
      <c r="B904" s="39">
        <f t="shared" si="68"/>
        <v>394</v>
      </c>
      <c r="C904" s="39">
        <f t="shared" si="69"/>
        <v>454</v>
      </c>
      <c r="F904" s="27" t="s">
        <v>2600</v>
      </c>
      <c r="G904" s="26"/>
      <c r="H904" s="26"/>
      <c r="I904" s="26"/>
      <c r="J904" s="26"/>
      <c r="K904" s="26"/>
      <c r="L904" s="26"/>
      <c r="M904" s="26" t="s">
        <v>1641</v>
      </c>
      <c r="N904" s="26" t="s">
        <v>1642</v>
      </c>
    </row>
    <row r="905" spans="1:14">
      <c r="A905" s="335">
        <v>898</v>
      </c>
      <c r="B905" s="39">
        <f t="shared" si="68"/>
        <v>394</v>
      </c>
      <c r="C905" s="39">
        <f t="shared" si="69"/>
        <v>454</v>
      </c>
      <c r="F905" s="25" t="s">
        <v>2601</v>
      </c>
      <c r="G905" s="22">
        <v>19</v>
      </c>
      <c r="H905" s="22">
        <v>23</v>
      </c>
      <c r="I905" s="22">
        <v>53.2</v>
      </c>
      <c r="J905" s="22">
        <v>-40</v>
      </c>
      <c r="K905" s="22">
        <v>-36</v>
      </c>
      <c r="L905" s="22">
        <v>-57</v>
      </c>
      <c r="M905" s="22" t="s">
        <v>1643</v>
      </c>
      <c r="N905" s="23" t="s">
        <v>1644</v>
      </c>
    </row>
    <row r="906" spans="1:14">
      <c r="A906" s="335">
        <v>899</v>
      </c>
      <c r="B906" s="39">
        <f t="shared" si="68"/>
        <v>394</v>
      </c>
      <c r="C906" s="39">
        <f t="shared" si="69"/>
        <v>454</v>
      </c>
      <c r="F906" s="41" t="s">
        <v>3847</v>
      </c>
      <c r="G906" s="22">
        <v>19</v>
      </c>
      <c r="H906" s="22">
        <v>22</v>
      </c>
      <c r="I906" s="22">
        <v>38.299999999999997</v>
      </c>
      <c r="J906" s="22">
        <v>-44</v>
      </c>
      <c r="K906" s="22">
        <v>-27</v>
      </c>
      <c r="L906" s="22">
        <v>-32</v>
      </c>
      <c r="M906" s="22" t="s">
        <v>3850</v>
      </c>
      <c r="N906" s="23" t="s">
        <v>3851</v>
      </c>
    </row>
    <row r="907" spans="1:14">
      <c r="A907" s="335">
        <v>900</v>
      </c>
      <c r="B907" s="39">
        <f t="shared" si="68"/>
        <v>394</v>
      </c>
      <c r="C907" s="39">
        <f t="shared" si="69"/>
        <v>454</v>
      </c>
      <c r="F907" s="25" t="s">
        <v>2602</v>
      </c>
      <c r="G907" s="22">
        <v>18</v>
      </c>
      <c r="H907" s="22">
        <v>5</v>
      </c>
      <c r="I907" s="22">
        <v>48.5</v>
      </c>
      <c r="J907" s="22">
        <v>-30</v>
      </c>
      <c r="K907" s="22">
        <v>-25</v>
      </c>
      <c r="L907" s="22">
        <v>-27</v>
      </c>
      <c r="M907" s="22" t="s">
        <v>1645</v>
      </c>
      <c r="N907" s="23" t="s">
        <v>1646</v>
      </c>
    </row>
    <row r="908" spans="1:14">
      <c r="A908" s="335">
        <v>901</v>
      </c>
      <c r="B908" s="39">
        <f t="shared" si="68"/>
        <v>394</v>
      </c>
      <c r="C908" s="39">
        <f t="shared" si="69"/>
        <v>454</v>
      </c>
      <c r="F908" s="25" t="s">
        <v>2603</v>
      </c>
      <c r="G908" s="22">
        <v>18</v>
      </c>
      <c r="H908" s="22">
        <v>20</v>
      </c>
      <c r="I908" s="22">
        <v>59.6</v>
      </c>
      <c r="J908" s="22">
        <v>-29</v>
      </c>
      <c r="K908" s="22">
        <v>-49</v>
      </c>
      <c r="L908" s="22">
        <v>-41</v>
      </c>
      <c r="M908" s="22" t="s">
        <v>1647</v>
      </c>
      <c r="N908" s="23" t="s">
        <v>1648</v>
      </c>
    </row>
    <row r="909" spans="1:14">
      <c r="A909" s="335">
        <v>902</v>
      </c>
      <c r="B909" s="39">
        <f t="shared" si="68"/>
        <v>394</v>
      </c>
      <c r="C909" s="39">
        <f t="shared" si="69"/>
        <v>454</v>
      </c>
      <c r="F909" s="25" t="s">
        <v>2604</v>
      </c>
      <c r="G909" s="22">
        <v>18</v>
      </c>
      <c r="H909" s="22">
        <v>24</v>
      </c>
      <c r="I909" s="22">
        <v>10.3</v>
      </c>
      <c r="J909" s="22">
        <v>-34</v>
      </c>
      <c r="K909" s="22">
        <v>-23</v>
      </c>
      <c r="L909" s="22">
        <v>-5</v>
      </c>
      <c r="M909" s="22" t="s">
        <v>1649</v>
      </c>
      <c r="N909" s="23" t="s">
        <v>1650</v>
      </c>
    </row>
    <row r="910" spans="1:14">
      <c r="A910" s="335">
        <v>903</v>
      </c>
      <c r="B910" s="39">
        <f t="shared" si="68"/>
        <v>394</v>
      </c>
      <c r="C910" s="39">
        <f t="shared" si="69"/>
        <v>454</v>
      </c>
      <c r="F910" s="25" t="s">
        <v>2605</v>
      </c>
      <c r="G910" s="22">
        <v>19</v>
      </c>
      <c r="H910" s="22">
        <v>2</v>
      </c>
      <c r="I910" s="22">
        <v>36.700000000000003</v>
      </c>
      <c r="J910" s="22">
        <v>-29</v>
      </c>
      <c r="K910" s="22">
        <v>-52</v>
      </c>
      <c r="L910" s="22">
        <v>-48</v>
      </c>
      <c r="M910" s="22" t="s">
        <v>1651</v>
      </c>
      <c r="N910" s="23" t="s">
        <v>1652</v>
      </c>
    </row>
    <row r="911" spans="1:14">
      <c r="A911" s="335">
        <v>904</v>
      </c>
      <c r="B911" s="39">
        <f t="shared" si="68"/>
        <v>394</v>
      </c>
      <c r="C911" s="39">
        <f t="shared" si="69"/>
        <v>454</v>
      </c>
      <c r="F911" s="25" t="s">
        <v>2606</v>
      </c>
      <c r="G911" s="22">
        <v>18</v>
      </c>
      <c r="H911" s="22">
        <v>17</v>
      </c>
      <c r="I911" s="22">
        <v>37.6</v>
      </c>
      <c r="J911" s="22">
        <v>-36</v>
      </c>
      <c r="K911" s="22">
        <v>-45</v>
      </c>
      <c r="L911" s="22">
        <v>-42</v>
      </c>
      <c r="M911" s="22" t="s">
        <v>1653</v>
      </c>
      <c r="N911" s="23" t="s">
        <v>1654</v>
      </c>
    </row>
    <row r="912" spans="1:14">
      <c r="A912" s="335">
        <v>905</v>
      </c>
      <c r="B912" s="39">
        <f t="shared" si="68"/>
        <v>394</v>
      </c>
      <c r="C912" s="39">
        <f t="shared" si="69"/>
        <v>454</v>
      </c>
      <c r="F912" s="25" t="s">
        <v>2607</v>
      </c>
      <c r="G912" s="22">
        <v>18</v>
      </c>
      <c r="H912" s="22">
        <v>27</v>
      </c>
      <c r="I912" s="22">
        <v>58.2</v>
      </c>
      <c r="J912" s="22">
        <v>-25</v>
      </c>
      <c r="K912" s="22">
        <v>-25</v>
      </c>
      <c r="L912" s="22">
        <v>-18</v>
      </c>
      <c r="M912" s="22" t="s">
        <v>1655</v>
      </c>
      <c r="N912" s="23" t="s">
        <v>1656</v>
      </c>
    </row>
    <row r="913" spans="1:14">
      <c r="A913" s="335">
        <v>906</v>
      </c>
      <c r="B913" s="39">
        <f t="shared" si="68"/>
        <v>394</v>
      </c>
      <c r="C913" s="39">
        <f t="shared" si="69"/>
        <v>454</v>
      </c>
      <c r="F913" s="25" t="s">
        <v>2608</v>
      </c>
      <c r="G913" s="22">
        <v>18</v>
      </c>
      <c r="H913" s="22">
        <v>57</v>
      </c>
      <c r="I913" s="22">
        <v>43.8</v>
      </c>
      <c r="J913" s="22">
        <v>-21</v>
      </c>
      <c r="K913" s="22">
        <v>-6</v>
      </c>
      <c r="L913" s="22">
        <v>-24</v>
      </c>
      <c r="M913" s="22" t="s">
        <v>1657</v>
      </c>
      <c r="N913" s="23" t="s">
        <v>1658</v>
      </c>
    </row>
    <row r="914" spans="1:14">
      <c r="A914" s="335">
        <v>907</v>
      </c>
      <c r="B914" s="39">
        <f t="shared" si="68"/>
        <v>394</v>
      </c>
      <c r="C914" s="39">
        <f t="shared" si="69"/>
        <v>454</v>
      </c>
      <c r="F914" s="25" t="s">
        <v>2609</v>
      </c>
      <c r="G914" s="22">
        <v>19</v>
      </c>
      <c r="H914" s="22">
        <v>4</v>
      </c>
      <c r="I914" s="22">
        <v>41</v>
      </c>
      <c r="J914" s="22">
        <v>-21</v>
      </c>
      <c r="K914" s="22">
        <v>-44</v>
      </c>
      <c r="L914" s="22">
        <v>-29</v>
      </c>
      <c r="M914" s="22" t="s">
        <v>1659</v>
      </c>
      <c r="N914" s="23" t="s">
        <v>1660</v>
      </c>
    </row>
    <row r="915" spans="1:14">
      <c r="A915" s="335">
        <v>908</v>
      </c>
      <c r="B915" s="39">
        <f t="shared" si="68"/>
        <v>394</v>
      </c>
      <c r="C915" s="39">
        <f t="shared" si="69"/>
        <v>454</v>
      </c>
      <c r="F915" s="25" t="s">
        <v>2610</v>
      </c>
      <c r="G915" s="22">
        <v>19</v>
      </c>
      <c r="H915" s="22">
        <v>9</v>
      </c>
      <c r="I915" s="22">
        <v>45.8</v>
      </c>
      <c r="J915" s="22">
        <v>-21</v>
      </c>
      <c r="K915" s="22">
        <v>-1</v>
      </c>
      <c r="L915" s="22">
        <v>-25</v>
      </c>
      <c r="M915" s="22" t="s">
        <v>1661</v>
      </c>
      <c r="N915" s="23" t="s">
        <v>1662</v>
      </c>
    </row>
    <row r="916" spans="1:14">
      <c r="A916" s="335">
        <v>909</v>
      </c>
      <c r="B916" s="39">
        <f t="shared" si="68"/>
        <v>394</v>
      </c>
      <c r="C916" s="39">
        <f t="shared" si="69"/>
        <v>454</v>
      </c>
      <c r="F916" s="25" t="s">
        <v>2611</v>
      </c>
      <c r="G916" s="22">
        <v>18</v>
      </c>
      <c r="H916" s="22">
        <v>55</v>
      </c>
      <c r="I916" s="22">
        <v>15.9</v>
      </c>
      <c r="J916" s="22">
        <v>-26</v>
      </c>
      <c r="K916" s="22">
        <v>-17</v>
      </c>
      <c r="L916" s="22">
        <v>-48</v>
      </c>
      <c r="M916" s="22" t="s">
        <v>1663</v>
      </c>
      <c r="N916" s="23" t="s">
        <v>1664</v>
      </c>
    </row>
    <row r="917" spans="1:14">
      <c r="A917" s="335">
        <v>910</v>
      </c>
      <c r="B917" s="39">
        <f t="shared" si="68"/>
        <v>394</v>
      </c>
      <c r="C917" s="39">
        <f t="shared" si="69"/>
        <v>454</v>
      </c>
      <c r="F917" s="25" t="s">
        <v>2612</v>
      </c>
      <c r="G917" s="22">
        <v>19</v>
      </c>
      <c r="H917" s="22">
        <v>6</v>
      </c>
      <c r="I917" s="22">
        <v>56.4</v>
      </c>
      <c r="J917" s="22">
        <v>-27</v>
      </c>
      <c r="K917" s="22">
        <v>-40</v>
      </c>
      <c r="L917" s="22">
        <v>-14</v>
      </c>
      <c r="M917" s="22" t="s">
        <v>1665</v>
      </c>
      <c r="N917" s="23" t="s">
        <v>1666</v>
      </c>
    </row>
    <row r="918" spans="1:14">
      <c r="A918" s="335">
        <v>911</v>
      </c>
      <c r="B918" s="39">
        <f t="shared" si="68"/>
        <v>394</v>
      </c>
      <c r="C918" s="39">
        <f t="shared" si="69"/>
        <v>454</v>
      </c>
      <c r="F918" s="25" t="s">
        <v>2613</v>
      </c>
      <c r="G918" s="22">
        <v>18</v>
      </c>
      <c r="H918" s="22">
        <v>45</v>
      </c>
      <c r="I918" s="22">
        <v>39.4</v>
      </c>
      <c r="J918" s="22">
        <v>-26</v>
      </c>
      <c r="K918" s="22">
        <v>-59</v>
      </c>
      <c r="L918" s="22">
        <v>-27</v>
      </c>
      <c r="M918" s="22" t="s">
        <v>1667</v>
      </c>
      <c r="N918" s="23" t="s">
        <v>1668</v>
      </c>
    </row>
    <row r="919" spans="1:14">
      <c r="A919" s="335">
        <v>912</v>
      </c>
      <c r="B919" s="39">
        <f t="shared" si="68"/>
        <v>394</v>
      </c>
      <c r="C919" s="39">
        <f t="shared" si="69"/>
        <v>454</v>
      </c>
      <c r="F919" s="27" t="s">
        <v>2614</v>
      </c>
      <c r="G919" s="26"/>
      <c r="H919" s="26"/>
      <c r="I919" s="26"/>
      <c r="J919" s="26"/>
      <c r="K919" s="26"/>
      <c r="L919" s="26"/>
      <c r="M919" s="26" t="s">
        <v>1669</v>
      </c>
      <c r="N919" s="26" t="s">
        <v>1670</v>
      </c>
    </row>
    <row r="920" spans="1:14">
      <c r="A920" s="335">
        <v>913</v>
      </c>
      <c r="B920" s="39">
        <f t="shared" si="68"/>
        <v>394</v>
      </c>
      <c r="C920" s="39">
        <f t="shared" si="69"/>
        <v>454</v>
      </c>
      <c r="F920" s="25" t="s">
        <v>2615</v>
      </c>
      <c r="G920" s="22">
        <v>1</v>
      </c>
      <c r="H920" s="22">
        <v>53</v>
      </c>
      <c r="I920" s="22">
        <v>4.9000000000000004</v>
      </c>
      <c r="J920" s="22">
        <v>29</v>
      </c>
      <c r="K920" s="22">
        <v>34</v>
      </c>
      <c r="L920" s="22">
        <v>44</v>
      </c>
      <c r="M920" s="22" t="s">
        <v>1671</v>
      </c>
      <c r="N920" s="22" t="s">
        <v>1672</v>
      </c>
    </row>
    <row r="921" spans="1:14">
      <c r="A921" s="335">
        <v>914</v>
      </c>
      <c r="B921" s="39">
        <f t="shared" si="68"/>
        <v>394</v>
      </c>
      <c r="C921" s="39">
        <f t="shared" si="69"/>
        <v>454</v>
      </c>
      <c r="F921" s="25" t="s">
        <v>2616</v>
      </c>
      <c r="G921" s="22">
        <v>2</v>
      </c>
      <c r="H921" s="22">
        <v>9</v>
      </c>
      <c r="I921" s="22">
        <v>32.6</v>
      </c>
      <c r="J921" s="22">
        <v>34</v>
      </c>
      <c r="K921" s="22">
        <v>59</v>
      </c>
      <c r="L921" s="22">
        <v>14</v>
      </c>
      <c r="M921" s="22" t="s">
        <v>1673</v>
      </c>
      <c r="N921" s="22" t="s">
        <v>1674</v>
      </c>
    </row>
    <row r="922" spans="1:14">
      <c r="A922" s="335">
        <v>915</v>
      </c>
      <c r="B922" s="39">
        <f t="shared" si="68"/>
        <v>394</v>
      </c>
      <c r="C922" s="39">
        <f t="shared" si="69"/>
        <v>454</v>
      </c>
      <c r="F922" s="25" t="s">
        <v>2617</v>
      </c>
      <c r="G922" s="22">
        <v>2</v>
      </c>
      <c r="H922" s="22">
        <v>17</v>
      </c>
      <c r="I922" s="22">
        <v>18.899999999999999</v>
      </c>
      <c r="J922" s="22">
        <v>33</v>
      </c>
      <c r="K922" s="22">
        <v>50</v>
      </c>
      <c r="L922" s="22">
        <v>50</v>
      </c>
      <c r="M922" s="22" t="s">
        <v>1675</v>
      </c>
      <c r="N922" s="22" t="s">
        <v>1676</v>
      </c>
    </row>
    <row r="923" spans="1:14">
      <c r="A923" s="335">
        <v>916</v>
      </c>
      <c r="B923" s="39">
        <f t="shared" si="68"/>
        <v>394</v>
      </c>
      <c r="C923" s="39">
        <f t="shared" si="69"/>
        <v>454</v>
      </c>
      <c r="F923" s="27" t="s">
        <v>2618</v>
      </c>
      <c r="G923" s="26"/>
      <c r="H923" s="26"/>
      <c r="I923" s="26"/>
      <c r="J923" s="26"/>
      <c r="K923" s="26"/>
      <c r="L923" s="26"/>
      <c r="M923" s="26" t="s">
        <v>1677</v>
      </c>
      <c r="N923" s="26" t="s">
        <v>1678</v>
      </c>
    </row>
    <row r="924" spans="1:14">
      <c r="A924" s="335">
        <v>917</v>
      </c>
      <c r="B924" s="39">
        <f t="shared" si="68"/>
        <v>394</v>
      </c>
      <c r="C924" s="39">
        <f t="shared" si="69"/>
        <v>454</v>
      </c>
      <c r="F924" s="27" t="s">
        <v>2619</v>
      </c>
      <c r="G924" s="26"/>
      <c r="H924" s="26"/>
      <c r="I924" s="26"/>
      <c r="J924" s="26"/>
      <c r="K924" s="26"/>
      <c r="L924" s="26"/>
      <c r="M924" s="26" t="s">
        <v>1679</v>
      </c>
      <c r="N924" s="26" t="s">
        <v>1680</v>
      </c>
    </row>
    <row r="925" spans="1:14">
      <c r="A925" s="335">
        <v>918</v>
      </c>
      <c r="B925" s="39">
        <f t="shared" si="68"/>
        <v>394</v>
      </c>
      <c r="C925" s="39">
        <f t="shared" si="69"/>
        <v>454</v>
      </c>
      <c r="F925" s="25" t="s">
        <v>2620</v>
      </c>
      <c r="G925" s="22">
        <v>22</v>
      </c>
      <c r="H925" s="22">
        <v>5</v>
      </c>
      <c r="I925" s="22">
        <v>47</v>
      </c>
      <c r="J925" s="22">
        <v>0</v>
      </c>
      <c r="K925" s="22">
        <v>-19</v>
      </c>
      <c r="L925" s="22">
        <v>-11</v>
      </c>
      <c r="M925" s="22" t="s">
        <v>1681</v>
      </c>
      <c r="N925" s="23" t="s">
        <v>1682</v>
      </c>
    </row>
    <row r="926" spans="1:14">
      <c r="A926" s="335">
        <v>919</v>
      </c>
      <c r="B926" s="39">
        <f t="shared" si="68"/>
        <v>394</v>
      </c>
      <c r="C926" s="39">
        <f t="shared" si="69"/>
        <v>454</v>
      </c>
      <c r="F926" s="25" t="s">
        <v>2621</v>
      </c>
      <c r="G926" s="22">
        <v>21</v>
      </c>
      <c r="H926" s="22">
        <v>31</v>
      </c>
      <c r="I926" s="22">
        <v>33.5</v>
      </c>
      <c r="J926" s="22">
        <v>-5</v>
      </c>
      <c r="K926" s="22">
        <v>-34</v>
      </c>
      <c r="L926" s="22">
        <v>-16</v>
      </c>
      <c r="M926" s="22" t="s">
        <v>1683</v>
      </c>
      <c r="N926" s="23" t="s">
        <v>1684</v>
      </c>
    </row>
    <row r="927" spans="1:14">
      <c r="A927" s="335">
        <v>920</v>
      </c>
      <c r="B927" s="39">
        <f t="shared" si="68"/>
        <v>394</v>
      </c>
      <c r="C927" s="39">
        <f t="shared" si="69"/>
        <v>454</v>
      </c>
      <c r="F927" s="25" t="s">
        <v>2622</v>
      </c>
      <c r="G927" s="22">
        <v>22</v>
      </c>
      <c r="H927" s="22">
        <v>21</v>
      </c>
      <c r="I927" s="22">
        <v>39.4</v>
      </c>
      <c r="J927" s="22">
        <v>-1</v>
      </c>
      <c r="K927" s="22">
        <v>-23</v>
      </c>
      <c r="L927" s="22">
        <v>-14</v>
      </c>
      <c r="M927" s="22" t="s">
        <v>1685</v>
      </c>
      <c r="N927" s="23" t="s">
        <v>1686</v>
      </c>
    </row>
    <row r="928" spans="1:14">
      <c r="A928" s="335">
        <v>921</v>
      </c>
      <c r="B928" s="39">
        <f t="shared" si="68"/>
        <v>394</v>
      </c>
      <c r="C928" s="39">
        <f t="shared" si="69"/>
        <v>454</v>
      </c>
      <c r="F928" s="25" t="s">
        <v>2623</v>
      </c>
      <c r="G928" s="22">
        <v>22</v>
      </c>
      <c r="H928" s="22">
        <v>54</v>
      </c>
      <c r="I928" s="22">
        <v>39</v>
      </c>
      <c r="J928" s="22">
        <v>-15</v>
      </c>
      <c r="K928" s="22">
        <v>-49</v>
      </c>
      <c r="L928" s="22">
        <v>-15</v>
      </c>
      <c r="M928" s="22" t="s">
        <v>1687</v>
      </c>
      <c r="N928" s="23" t="s">
        <v>1688</v>
      </c>
    </row>
    <row r="929" spans="1:14">
      <c r="A929" s="335">
        <v>922</v>
      </c>
      <c r="B929" s="39">
        <f t="shared" si="68"/>
        <v>394</v>
      </c>
      <c r="C929" s="39">
        <f t="shared" si="69"/>
        <v>454</v>
      </c>
      <c r="F929" s="25" t="s">
        <v>2624</v>
      </c>
      <c r="G929" s="22">
        <v>20</v>
      </c>
      <c r="H929" s="22">
        <v>47</v>
      </c>
      <c r="I929" s="22">
        <v>40.6</v>
      </c>
      <c r="J929" s="22">
        <v>-9</v>
      </c>
      <c r="K929" s="22">
        <v>-29</v>
      </c>
      <c r="L929" s="22">
        <v>-45</v>
      </c>
      <c r="M929" s="22" t="s">
        <v>1689</v>
      </c>
      <c r="N929" s="23" t="s">
        <v>1690</v>
      </c>
    </row>
    <row r="930" spans="1:14">
      <c r="A930" s="335">
        <v>923</v>
      </c>
      <c r="B930" s="39">
        <f t="shared" si="68"/>
        <v>394</v>
      </c>
      <c r="C930" s="39">
        <f t="shared" si="69"/>
        <v>454</v>
      </c>
      <c r="F930" s="25" t="s">
        <v>2625</v>
      </c>
      <c r="G930" s="22">
        <v>22</v>
      </c>
      <c r="H930" s="22">
        <v>28</v>
      </c>
      <c r="I930" s="22">
        <v>49.9</v>
      </c>
      <c r="J930" s="22">
        <v>0</v>
      </c>
      <c r="K930" s="22">
        <v>-1</v>
      </c>
      <c r="L930" s="22">
        <v>-12</v>
      </c>
      <c r="M930" s="22" t="s">
        <v>1691</v>
      </c>
      <c r="N930" s="23" t="s">
        <v>1692</v>
      </c>
    </row>
    <row r="931" spans="1:14">
      <c r="A931" s="335">
        <v>924</v>
      </c>
      <c r="B931" s="39">
        <f t="shared" si="68"/>
        <v>394</v>
      </c>
      <c r="C931" s="39">
        <f t="shared" si="69"/>
        <v>454</v>
      </c>
      <c r="F931" s="25" t="s">
        <v>2626</v>
      </c>
      <c r="G931" s="22">
        <v>22</v>
      </c>
      <c r="H931" s="22">
        <v>35</v>
      </c>
      <c r="I931" s="22">
        <v>21.4</v>
      </c>
      <c r="J931" s="22">
        <v>0</v>
      </c>
      <c r="K931" s="22">
        <v>-7</v>
      </c>
      <c r="L931" s="22">
        <v>-3</v>
      </c>
      <c r="M931" s="22" t="s">
        <v>1693</v>
      </c>
      <c r="N931" s="23" t="s">
        <v>1694</v>
      </c>
    </row>
    <row r="932" spans="1:14">
      <c r="A932" s="335">
        <v>925</v>
      </c>
      <c r="B932" s="39">
        <f t="shared" si="68"/>
        <v>394</v>
      </c>
      <c r="C932" s="39">
        <f t="shared" si="69"/>
        <v>454</v>
      </c>
      <c r="F932" s="25" t="s">
        <v>2627</v>
      </c>
      <c r="G932" s="22">
        <v>22</v>
      </c>
      <c r="H932" s="22">
        <v>16</v>
      </c>
      <c r="I932" s="22">
        <v>50</v>
      </c>
      <c r="J932" s="22">
        <v>-7</v>
      </c>
      <c r="K932" s="22">
        <v>-47</v>
      </c>
      <c r="L932" s="22">
        <v>0</v>
      </c>
      <c r="M932" s="22" t="s">
        <v>1695</v>
      </c>
      <c r="N932" s="23" t="s">
        <v>1696</v>
      </c>
    </row>
    <row r="933" spans="1:14">
      <c r="A933" s="335">
        <v>926</v>
      </c>
      <c r="B933" s="39">
        <f t="shared" si="68"/>
        <v>394</v>
      </c>
      <c r="C933" s="39">
        <f t="shared" si="69"/>
        <v>454</v>
      </c>
      <c r="F933" s="25" t="s">
        <v>2628</v>
      </c>
      <c r="G933" s="22">
        <v>20</v>
      </c>
      <c r="H933" s="22">
        <v>47</v>
      </c>
      <c r="I933" s="22">
        <v>44.2</v>
      </c>
      <c r="J933" s="22">
        <v>-5</v>
      </c>
      <c r="K933" s="22">
        <v>-1</v>
      </c>
      <c r="L933" s="22">
        <v>-40</v>
      </c>
      <c r="M933" s="22" t="s">
        <v>1697</v>
      </c>
      <c r="N933" s="23" t="s">
        <v>1698</v>
      </c>
    </row>
    <row r="934" spans="1:14">
      <c r="A934" s="335">
        <v>927</v>
      </c>
      <c r="B934" s="39">
        <f t="shared" si="68"/>
        <v>394</v>
      </c>
      <c r="C934" s="39">
        <f t="shared" si="69"/>
        <v>454</v>
      </c>
      <c r="F934" s="25" t="s">
        <v>2629</v>
      </c>
      <c r="G934" s="22">
        <v>22</v>
      </c>
      <c r="H934" s="22">
        <v>52</v>
      </c>
      <c r="I934" s="22">
        <v>36.9</v>
      </c>
      <c r="J934" s="22">
        <v>-7</v>
      </c>
      <c r="K934" s="22">
        <v>-34</v>
      </c>
      <c r="L934" s="22">
        <v>-47</v>
      </c>
      <c r="M934" s="22" t="s">
        <v>1699</v>
      </c>
      <c r="N934" s="23" t="s">
        <v>1700</v>
      </c>
    </row>
    <row r="935" spans="1:14">
      <c r="A935" s="335">
        <v>928</v>
      </c>
      <c r="B935" s="39">
        <f t="shared" si="68"/>
        <v>394</v>
      </c>
      <c r="C935" s="39">
        <f t="shared" si="69"/>
        <v>454</v>
      </c>
      <c r="F935" s="25" t="s">
        <v>2630</v>
      </c>
      <c r="G935" s="22">
        <v>21</v>
      </c>
      <c r="H935" s="22">
        <v>9</v>
      </c>
      <c r="I935" s="22">
        <v>33.700000000000003</v>
      </c>
      <c r="J935" s="22">
        <v>-11</v>
      </c>
      <c r="K935" s="22">
        <v>-22</v>
      </c>
      <c r="L935" s="22">
        <v>-18</v>
      </c>
      <c r="M935" s="22" t="s">
        <v>1701</v>
      </c>
      <c r="N935" s="23" t="s">
        <v>1702</v>
      </c>
    </row>
    <row r="936" spans="1:14">
      <c r="A936" s="335">
        <v>929</v>
      </c>
      <c r="B936" s="39">
        <f t="shared" si="68"/>
        <v>394</v>
      </c>
      <c r="C936" s="39">
        <f t="shared" si="69"/>
        <v>454</v>
      </c>
      <c r="F936" s="25" t="s">
        <v>2631</v>
      </c>
      <c r="G936" s="22">
        <v>22</v>
      </c>
      <c r="H936" s="22">
        <v>25</v>
      </c>
      <c r="I936" s="22">
        <v>16.600000000000001</v>
      </c>
      <c r="J936" s="22">
        <v>1</v>
      </c>
      <c r="K936" s="22">
        <v>22</v>
      </c>
      <c r="L936" s="22">
        <v>39</v>
      </c>
      <c r="M936" s="22" t="s">
        <v>1703</v>
      </c>
      <c r="N936" s="23" t="s">
        <v>1704</v>
      </c>
    </row>
    <row r="937" spans="1:14">
      <c r="A937" s="335">
        <v>930</v>
      </c>
      <c r="B937" s="39">
        <f t="shared" si="68"/>
        <v>394</v>
      </c>
      <c r="C937" s="39">
        <f t="shared" si="69"/>
        <v>454</v>
      </c>
      <c r="F937" s="25" t="s">
        <v>2632</v>
      </c>
      <c r="G937" s="22">
        <v>23</v>
      </c>
      <c r="H937" s="22">
        <v>14</v>
      </c>
      <c r="I937" s="22">
        <v>19.399999999999999</v>
      </c>
      <c r="J937" s="22">
        <v>-6</v>
      </c>
      <c r="K937" s="22">
        <v>-2</v>
      </c>
      <c r="L937" s="22">
        <v>-56</v>
      </c>
      <c r="M937" s="22" t="s">
        <v>1705</v>
      </c>
      <c r="N937" s="23" t="s">
        <v>1706</v>
      </c>
    </row>
    <row r="938" spans="1:14">
      <c r="A938" s="335">
        <v>931</v>
      </c>
      <c r="B938" s="39">
        <f t="shared" si="68"/>
        <v>394</v>
      </c>
      <c r="C938" s="39">
        <f t="shared" si="69"/>
        <v>454</v>
      </c>
      <c r="F938" s="25" t="s">
        <v>2633</v>
      </c>
      <c r="G938" s="22">
        <v>23</v>
      </c>
      <c r="H938" s="22">
        <v>15</v>
      </c>
      <c r="I938" s="22">
        <v>53.5</v>
      </c>
      <c r="J938" s="22">
        <v>-9</v>
      </c>
      <c r="K938" s="22">
        <v>-5</v>
      </c>
      <c r="L938" s="22">
        <v>-16</v>
      </c>
      <c r="M938" s="22" t="s">
        <v>1707</v>
      </c>
      <c r="N938" s="23" t="s">
        <v>1708</v>
      </c>
    </row>
    <row r="939" spans="1:14">
      <c r="A939" s="335">
        <v>932</v>
      </c>
      <c r="B939" s="39">
        <f t="shared" si="68"/>
        <v>394</v>
      </c>
      <c r="C939" s="39">
        <f t="shared" si="69"/>
        <v>454</v>
      </c>
      <c r="F939" s="25" t="s">
        <v>2634</v>
      </c>
      <c r="G939" s="22">
        <v>23</v>
      </c>
      <c r="H939" s="22">
        <v>17</v>
      </c>
      <c r="I939" s="22">
        <v>54.2</v>
      </c>
      <c r="J939" s="22">
        <v>-9</v>
      </c>
      <c r="K939" s="22">
        <v>-10</v>
      </c>
      <c r="L939" s="22">
        <v>-57</v>
      </c>
      <c r="M939" s="22" t="s">
        <v>1709</v>
      </c>
      <c r="N939" s="23" t="s">
        <v>1710</v>
      </c>
    </row>
    <row r="940" spans="1:14">
      <c r="A940" s="335">
        <v>933</v>
      </c>
      <c r="B940" s="39">
        <f t="shared" si="68"/>
        <v>394</v>
      </c>
      <c r="C940" s="39">
        <f t="shared" si="69"/>
        <v>454</v>
      </c>
      <c r="F940" s="25" t="s">
        <v>2635</v>
      </c>
      <c r="G940" s="22">
        <v>23</v>
      </c>
      <c r="H940" s="22">
        <v>42</v>
      </c>
      <c r="I940" s="22">
        <v>43.3</v>
      </c>
      <c r="J940" s="22">
        <v>-14</v>
      </c>
      <c r="K940" s="22">
        <v>-32</v>
      </c>
      <c r="L940" s="22">
        <v>-42</v>
      </c>
      <c r="M940" s="22" t="s">
        <v>1711</v>
      </c>
      <c r="N940" s="23" t="s">
        <v>1712</v>
      </c>
    </row>
    <row r="941" spans="1:14">
      <c r="A941" s="335">
        <v>934</v>
      </c>
      <c r="B941" s="39">
        <f t="shared" si="68"/>
        <v>394</v>
      </c>
      <c r="C941" s="39">
        <f t="shared" si="69"/>
        <v>454</v>
      </c>
      <c r="F941" s="27" t="s">
        <v>2636</v>
      </c>
      <c r="G941" s="26"/>
      <c r="H941" s="26"/>
      <c r="I941" s="26"/>
      <c r="J941" s="26"/>
      <c r="K941" s="26"/>
      <c r="L941" s="26"/>
      <c r="M941" s="26" t="s">
        <v>1713</v>
      </c>
      <c r="N941" s="26" t="s">
        <v>1714</v>
      </c>
    </row>
    <row r="942" spans="1:14">
      <c r="A942" s="335">
        <v>935</v>
      </c>
      <c r="B942" s="39">
        <f t="shared" si="68"/>
        <v>394</v>
      </c>
      <c r="C942" s="39">
        <f t="shared" si="69"/>
        <v>454</v>
      </c>
      <c r="F942" s="25" t="s">
        <v>2637</v>
      </c>
      <c r="G942" s="22">
        <v>9</v>
      </c>
      <c r="H942" s="22">
        <v>27</v>
      </c>
      <c r="I942" s="22">
        <v>35.200000000000003</v>
      </c>
      <c r="J942" s="22">
        <v>-8</v>
      </c>
      <c r="K942" s="22">
        <v>-39</v>
      </c>
      <c r="L942" s="22">
        <v>-31</v>
      </c>
      <c r="M942" s="22" t="s">
        <v>1715</v>
      </c>
      <c r="N942" s="23" t="s">
        <v>1716</v>
      </c>
    </row>
    <row r="943" spans="1:14">
      <c r="A943" s="335">
        <v>936</v>
      </c>
      <c r="B943" s="39">
        <f t="shared" si="68"/>
        <v>394</v>
      </c>
      <c r="C943" s="39">
        <f t="shared" si="69"/>
        <v>454</v>
      </c>
      <c r="F943" s="25" t="s">
        <v>2638</v>
      </c>
      <c r="G943" s="22">
        <v>11</v>
      </c>
      <c r="H943" s="22">
        <v>52</v>
      </c>
      <c r="I943" s="22">
        <v>54.5</v>
      </c>
      <c r="J943" s="22">
        <v>-33</v>
      </c>
      <c r="K943" s="22">
        <v>-54</v>
      </c>
      <c r="L943" s="22">
        <v>-29</v>
      </c>
      <c r="M943" s="22" t="s">
        <v>1717</v>
      </c>
      <c r="N943" s="23" t="s">
        <v>1718</v>
      </c>
    </row>
    <row r="944" spans="1:14">
      <c r="A944" s="335">
        <v>937</v>
      </c>
      <c r="B944" s="39">
        <f t="shared" si="68"/>
        <v>394</v>
      </c>
      <c r="C944" s="39">
        <f t="shared" si="69"/>
        <v>454</v>
      </c>
      <c r="F944" s="25" t="s">
        <v>2639</v>
      </c>
      <c r="G944" s="22">
        <v>13</v>
      </c>
      <c r="H944" s="22">
        <v>18</v>
      </c>
      <c r="I944" s="22">
        <v>55.3</v>
      </c>
      <c r="J944" s="22">
        <v>-23</v>
      </c>
      <c r="K944" s="22">
        <v>-10</v>
      </c>
      <c r="L944" s="22">
        <v>-17</v>
      </c>
      <c r="M944" s="22" t="s">
        <v>1719</v>
      </c>
      <c r="N944" s="23" t="s">
        <v>1720</v>
      </c>
    </row>
    <row r="945" spans="1:14">
      <c r="A945" s="335">
        <v>938</v>
      </c>
      <c r="B945" s="39">
        <f t="shared" si="68"/>
        <v>394</v>
      </c>
      <c r="C945" s="39">
        <f t="shared" si="69"/>
        <v>454</v>
      </c>
      <c r="F945" s="25" t="s">
        <v>2640</v>
      </c>
      <c r="G945" s="22">
        <v>8</v>
      </c>
      <c r="H945" s="22">
        <v>37</v>
      </c>
      <c r="I945" s="22">
        <v>39.4</v>
      </c>
      <c r="J945" s="22">
        <v>5</v>
      </c>
      <c r="K945" s="22">
        <v>42</v>
      </c>
      <c r="L945" s="22">
        <v>14</v>
      </c>
      <c r="M945" s="22" t="s">
        <v>1721</v>
      </c>
      <c r="N945" s="23" t="s">
        <v>1722</v>
      </c>
    </row>
    <row r="946" spans="1:14">
      <c r="A946" s="335">
        <v>939</v>
      </c>
      <c r="B946" s="39">
        <f t="shared" si="68"/>
        <v>394</v>
      </c>
      <c r="C946" s="39">
        <f t="shared" si="69"/>
        <v>454</v>
      </c>
      <c r="F946" s="25" t="s">
        <v>2641</v>
      </c>
      <c r="G946" s="22">
        <v>8</v>
      </c>
      <c r="H946" s="22">
        <v>46</v>
      </c>
      <c r="I946" s="22">
        <v>46.5</v>
      </c>
      <c r="J946" s="22">
        <v>6</v>
      </c>
      <c r="K946" s="22">
        <v>25</v>
      </c>
      <c r="L946" s="22">
        <v>8</v>
      </c>
      <c r="M946" s="22" t="s">
        <v>1723</v>
      </c>
      <c r="N946" s="23" t="s">
        <v>1724</v>
      </c>
    </row>
    <row r="947" spans="1:14">
      <c r="A947" s="335">
        <v>940</v>
      </c>
      <c r="B947" s="39">
        <f t="shared" si="68"/>
        <v>394</v>
      </c>
      <c r="C947" s="39">
        <f t="shared" si="69"/>
        <v>454</v>
      </c>
      <c r="F947" s="25" t="s">
        <v>2642</v>
      </c>
      <c r="G947" s="22">
        <v>8</v>
      </c>
      <c r="H947" s="22">
        <v>55</v>
      </c>
      <c r="I947" s="22">
        <v>23.6</v>
      </c>
      <c r="J947" s="22">
        <v>5</v>
      </c>
      <c r="K947" s="22">
        <v>56</v>
      </c>
      <c r="L947" s="22">
        <v>44</v>
      </c>
      <c r="M947" s="22" t="s">
        <v>1725</v>
      </c>
      <c r="N947" s="23" t="s">
        <v>1726</v>
      </c>
    </row>
    <row r="948" spans="1:14">
      <c r="A948" s="335">
        <v>941</v>
      </c>
      <c r="B948" s="39">
        <f t="shared" si="68"/>
        <v>394</v>
      </c>
      <c r="C948" s="39">
        <f t="shared" si="69"/>
        <v>454</v>
      </c>
      <c r="F948" s="25" t="s">
        <v>2643</v>
      </c>
      <c r="G948" s="22">
        <v>9</v>
      </c>
      <c r="H948" s="22">
        <v>14</v>
      </c>
      <c r="I948" s="22">
        <v>21.9</v>
      </c>
      <c r="J948" s="22">
        <v>2</v>
      </c>
      <c r="K948" s="22">
        <v>18</v>
      </c>
      <c r="L948" s="22">
        <v>51</v>
      </c>
      <c r="M948" s="22" t="s">
        <v>1727</v>
      </c>
      <c r="N948" s="23" t="s">
        <v>1728</v>
      </c>
    </row>
    <row r="949" spans="1:14">
      <c r="A949" s="335">
        <v>942</v>
      </c>
      <c r="B949" s="39">
        <f t="shared" si="68"/>
        <v>394</v>
      </c>
      <c r="C949" s="39">
        <f t="shared" si="69"/>
        <v>454</v>
      </c>
      <c r="F949" s="25" t="s">
        <v>2644</v>
      </c>
      <c r="G949" s="22">
        <v>9</v>
      </c>
      <c r="H949" s="22">
        <v>39</v>
      </c>
      <c r="I949" s="22">
        <v>51.4</v>
      </c>
      <c r="J949" s="22">
        <v>-1</v>
      </c>
      <c r="K949" s="22">
        <v>-8</v>
      </c>
      <c r="L949" s="22">
        <v>-34</v>
      </c>
      <c r="M949" s="22" t="s">
        <v>1729</v>
      </c>
      <c r="N949" s="23" t="s">
        <v>1730</v>
      </c>
    </row>
    <row r="950" spans="1:14">
      <c r="A950" s="335">
        <v>943</v>
      </c>
      <c r="B950" s="39">
        <f t="shared" si="68"/>
        <v>394</v>
      </c>
      <c r="C950" s="39">
        <f t="shared" si="69"/>
        <v>454</v>
      </c>
      <c r="F950" s="25" t="s">
        <v>2645</v>
      </c>
      <c r="G950" s="22">
        <v>10</v>
      </c>
      <c r="H950" s="22">
        <v>10</v>
      </c>
      <c r="I950" s="22">
        <v>35.299999999999997</v>
      </c>
      <c r="J950" s="22">
        <v>-12</v>
      </c>
      <c r="K950" s="22">
        <v>-21</v>
      </c>
      <c r="L950" s="22">
        <v>-15</v>
      </c>
      <c r="M950" s="22" t="s">
        <v>1731</v>
      </c>
      <c r="N950" s="23" t="s">
        <v>1732</v>
      </c>
    </row>
    <row r="951" spans="1:14">
      <c r="A951" s="335">
        <v>944</v>
      </c>
      <c r="B951" s="39">
        <f t="shared" si="68"/>
        <v>394</v>
      </c>
      <c r="C951" s="39">
        <f t="shared" si="69"/>
        <v>454</v>
      </c>
      <c r="F951" s="41" t="s">
        <v>3794</v>
      </c>
      <c r="G951" s="22">
        <v>10</v>
      </c>
      <c r="H951" s="22">
        <v>26</v>
      </c>
      <c r="I951" s="22">
        <v>5.4</v>
      </c>
      <c r="J951" s="22">
        <v>-16</v>
      </c>
      <c r="K951" s="22">
        <v>-50</v>
      </c>
      <c r="L951" s="22">
        <v>-11</v>
      </c>
      <c r="M951" s="22" t="s">
        <v>3977</v>
      </c>
      <c r="N951" s="23" t="s">
        <v>3795</v>
      </c>
    </row>
    <row r="952" spans="1:14">
      <c r="A952" s="335">
        <v>945</v>
      </c>
      <c r="B952" s="39">
        <f t="shared" si="68"/>
        <v>394</v>
      </c>
      <c r="C952" s="39">
        <f t="shared" si="69"/>
        <v>454</v>
      </c>
      <c r="F952" s="25" t="s">
        <v>2646</v>
      </c>
      <c r="G952" s="22">
        <v>10</v>
      </c>
      <c r="H952" s="22">
        <v>49</v>
      </c>
      <c r="I952" s="22">
        <v>37.5</v>
      </c>
      <c r="J952" s="22">
        <v>-16</v>
      </c>
      <c r="K952" s="22">
        <v>-11</v>
      </c>
      <c r="L952" s="22">
        <v>-37</v>
      </c>
      <c r="M952" s="22" t="s">
        <v>1733</v>
      </c>
      <c r="N952" s="23" t="s">
        <v>1734</v>
      </c>
    </row>
    <row r="953" spans="1:14">
      <c r="A953" s="335">
        <v>946</v>
      </c>
      <c r="B953" s="39">
        <f t="shared" si="68"/>
        <v>394</v>
      </c>
      <c r="C953" s="39">
        <f t="shared" si="69"/>
        <v>454</v>
      </c>
      <c r="F953" s="25" t="s">
        <v>2647</v>
      </c>
      <c r="G953" s="22">
        <v>11</v>
      </c>
      <c r="H953" s="22">
        <v>33</v>
      </c>
      <c r="I953" s="22">
        <v>0.1</v>
      </c>
      <c r="J953" s="22">
        <v>-31</v>
      </c>
      <c r="K953" s="22">
        <v>-51</v>
      </c>
      <c r="L953" s="22">
        <v>-27</v>
      </c>
      <c r="M953" s="22" t="s">
        <v>1735</v>
      </c>
      <c r="N953" s="23" t="s">
        <v>1736</v>
      </c>
    </row>
    <row r="954" spans="1:14">
      <c r="A954" s="335">
        <v>947</v>
      </c>
      <c r="B954" s="39">
        <f t="shared" si="68"/>
        <v>394</v>
      </c>
      <c r="C954" s="39">
        <f t="shared" si="69"/>
        <v>454</v>
      </c>
      <c r="F954" s="25" t="s">
        <v>2648</v>
      </c>
      <c r="G954" s="22">
        <v>14</v>
      </c>
      <c r="H954" s="22">
        <v>6</v>
      </c>
      <c r="I954" s="22">
        <v>22.3</v>
      </c>
      <c r="J954" s="22">
        <v>-26</v>
      </c>
      <c r="K954" s="22">
        <v>-40</v>
      </c>
      <c r="L954" s="22">
        <v>-57</v>
      </c>
      <c r="M954" s="22" t="s">
        <v>1737</v>
      </c>
      <c r="N954" s="23" t="s">
        <v>1738</v>
      </c>
    </row>
    <row r="955" spans="1:14">
      <c r="A955" s="335">
        <v>948</v>
      </c>
      <c r="B955" s="39">
        <f t="shared" si="68"/>
        <v>394</v>
      </c>
      <c r="C955" s="39">
        <f t="shared" si="69"/>
        <v>454</v>
      </c>
      <c r="F955" s="41" t="s">
        <v>3778</v>
      </c>
      <c r="G955" s="22">
        <v>9</v>
      </c>
      <c r="H955" s="22">
        <v>31</v>
      </c>
      <c r="I955" s="22">
        <v>58.9</v>
      </c>
      <c r="J955" s="22">
        <v>-1</v>
      </c>
      <c r="K955" s="22">
        <v>-11</v>
      </c>
      <c r="L955" s="22">
        <v>-5</v>
      </c>
      <c r="M955" s="22" t="s">
        <v>3978</v>
      </c>
      <c r="N955" s="23" t="s">
        <v>3779</v>
      </c>
    </row>
    <row r="956" spans="1:14">
      <c r="A956" s="335">
        <v>949</v>
      </c>
      <c r="B956" s="39">
        <f t="shared" si="68"/>
        <v>394</v>
      </c>
      <c r="C956" s="39">
        <f t="shared" si="69"/>
        <v>454</v>
      </c>
      <c r="F956" s="25" t="s">
        <v>2649</v>
      </c>
      <c r="G956" s="22">
        <v>9</v>
      </c>
      <c r="H956" s="22">
        <v>51</v>
      </c>
      <c r="I956" s="22">
        <v>28.7</v>
      </c>
      <c r="J956" s="22">
        <v>-14</v>
      </c>
      <c r="K956" s="22">
        <v>-50</v>
      </c>
      <c r="L956" s="22">
        <v>-48</v>
      </c>
      <c r="M956" s="22" t="s">
        <v>3979</v>
      </c>
      <c r="N956" s="23" t="s">
        <v>3980</v>
      </c>
    </row>
    <row r="957" spans="1:14">
      <c r="A957" s="335">
        <v>950</v>
      </c>
      <c r="B957" s="39">
        <f t="shared" si="68"/>
        <v>394</v>
      </c>
      <c r="C957" s="39">
        <f t="shared" si="69"/>
        <v>454</v>
      </c>
      <c r="F957" s="25" t="s">
        <v>2650</v>
      </c>
      <c r="G957" s="22">
        <v>9</v>
      </c>
      <c r="H957" s="22">
        <v>51</v>
      </c>
      <c r="I957" s="22">
        <v>28.7</v>
      </c>
      <c r="J957" s="22">
        <v>-14</v>
      </c>
      <c r="K957" s="22">
        <v>-50</v>
      </c>
      <c r="L957" s="22">
        <v>-48</v>
      </c>
      <c r="M957" s="22" t="s">
        <v>1739</v>
      </c>
      <c r="N957" s="23" t="s">
        <v>1740</v>
      </c>
    </row>
    <row r="958" spans="1:14">
      <c r="A958" s="335">
        <v>951</v>
      </c>
      <c r="B958" s="39">
        <f t="shared" si="68"/>
        <v>394</v>
      </c>
      <c r="C958" s="39">
        <f t="shared" si="69"/>
        <v>454</v>
      </c>
      <c r="F958" s="25" t="s">
        <v>2651</v>
      </c>
      <c r="G958" s="22">
        <v>13</v>
      </c>
      <c r="H958" s="22">
        <v>9</v>
      </c>
      <c r="I958" s="22">
        <v>3.3</v>
      </c>
      <c r="J958" s="22">
        <v>-23</v>
      </c>
      <c r="K958" s="22">
        <v>-7</v>
      </c>
      <c r="L958" s="22">
        <v>-5</v>
      </c>
      <c r="M958" s="22" t="s">
        <v>1741</v>
      </c>
      <c r="N958" s="23" t="s">
        <v>1742</v>
      </c>
    </row>
    <row r="959" spans="1:14">
      <c r="A959" s="335">
        <v>952</v>
      </c>
      <c r="B959" s="39">
        <f t="shared" si="68"/>
        <v>394</v>
      </c>
      <c r="C959" s="39">
        <f t="shared" si="69"/>
        <v>454</v>
      </c>
      <c r="F959" s="27" t="s">
        <v>2652</v>
      </c>
      <c r="G959" s="26"/>
      <c r="H959" s="26"/>
      <c r="I959" s="26"/>
      <c r="J959" s="26"/>
      <c r="K959" s="26"/>
      <c r="L959" s="26"/>
      <c r="M959" s="26" t="s">
        <v>1743</v>
      </c>
      <c r="N959" s="26" t="s">
        <v>1744</v>
      </c>
    </row>
    <row r="960" spans="1:14">
      <c r="A960" s="335">
        <v>953</v>
      </c>
      <c r="B960" s="39">
        <f t="shared" si="68"/>
        <v>394</v>
      </c>
      <c r="C960" s="39">
        <f t="shared" si="69"/>
        <v>454</v>
      </c>
      <c r="F960" s="53" t="s">
        <v>2692</v>
      </c>
      <c r="G960" s="602"/>
      <c r="H960" s="602"/>
      <c r="I960" s="602"/>
      <c r="J960" s="602"/>
      <c r="K960" s="602"/>
      <c r="L960" s="602"/>
      <c r="M960" s="602" t="s">
        <v>293</v>
      </c>
      <c r="N960" s="602" t="s">
        <v>1745</v>
      </c>
    </row>
    <row r="961" spans="1:14">
      <c r="A961" s="335">
        <v>954</v>
      </c>
      <c r="B961" s="39">
        <f t="shared" si="68"/>
        <v>394</v>
      </c>
      <c r="C961" s="39">
        <f t="shared" si="69"/>
        <v>454</v>
      </c>
      <c r="F961" s="25" t="s">
        <v>1746</v>
      </c>
      <c r="G961" s="22">
        <v>9</v>
      </c>
      <c r="H961" s="22">
        <v>37</v>
      </c>
      <c r="I961" s="22">
        <v>5.3</v>
      </c>
      <c r="J961" s="22">
        <v>81</v>
      </c>
      <c r="K961" s="22">
        <v>19</v>
      </c>
      <c r="L961" s="22">
        <v>35</v>
      </c>
      <c r="M961" s="22" t="s">
        <v>1746</v>
      </c>
      <c r="N961" s="22" t="s">
        <v>1746</v>
      </c>
    </row>
    <row r="962" spans="1:14">
      <c r="A962" s="335">
        <v>955</v>
      </c>
      <c r="B962" s="39">
        <f t="shared" si="68"/>
        <v>394</v>
      </c>
      <c r="C962" s="39">
        <f t="shared" si="69"/>
        <v>454</v>
      </c>
      <c r="F962" s="25" t="s">
        <v>1747</v>
      </c>
      <c r="G962" s="22">
        <v>12</v>
      </c>
      <c r="H962" s="22">
        <v>12</v>
      </c>
      <c r="I962" s="22">
        <v>11.9</v>
      </c>
      <c r="J962" s="22">
        <v>77</v>
      </c>
      <c r="K962" s="22">
        <v>36</v>
      </c>
      <c r="L962" s="22">
        <v>58</v>
      </c>
      <c r="M962" s="22" t="s">
        <v>1747</v>
      </c>
      <c r="N962" s="22" t="s">
        <v>1747</v>
      </c>
    </row>
    <row r="963" spans="1:14">
      <c r="A963" s="335">
        <v>956</v>
      </c>
      <c r="B963" s="39">
        <f t="shared" si="68"/>
        <v>394</v>
      </c>
      <c r="C963" s="39">
        <f t="shared" si="69"/>
        <v>454</v>
      </c>
      <c r="F963" s="25" t="s">
        <v>1748</v>
      </c>
      <c r="G963" s="22">
        <v>15</v>
      </c>
      <c r="H963" s="22">
        <v>38</v>
      </c>
      <c r="I963" s="22">
        <v>12.9</v>
      </c>
      <c r="J963" s="22">
        <v>36</v>
      </c>
      <c r="K963" s="22">
        <v>14</v>
      </c>
      <c r="L963" s="22">
        <v>49</v>
      </c>
      <c r="M963" s="22" t="s">
        <v>1748</v>
      </c>
      <c r="N963" s="22" t="s">
        <v>1749</v>
      </c>
    </row>
    <row r="964" spans="1:14">
      <c r="A964" s="335">
        <v>957</v>
      </c>
      <c r="B964" s="39">
        <f t="shared" si="68"/>
        <v>394</v>
      </c>
      <c r="C964" s="39">
        <f t="shared" si="69"/>
        <v>454</v>
      </c>
      <c r="F964" s="25" t="s">
        <v>1750</v>
      </c>
      <c r="G964" s="22">
        <v>15</v>
      </c>
      <c r="H964" s="22">
        <v>18</v>
      </c>
      <c r="I964" s="22">
        <v>20.3</v>
      </c>
      <c r="J964" s="22">
        <v>26</v>
      </c>
      <c r="K964" s="22">
        <v>50</v>
      </c>
      <c r="L964" s="22">
        <v>25</v>
      </c>
      <c r="M964" s="22" t="s">
        <v>1750</v>
      </c>
      <c r="N964" s="22" t="s">
        <v>1749</v>
      </c>
    </row>
    <row r="965" spans="1:14">
      <c r="A965" s="335">
        <v>958</v>
      </c>
      <c r="B965" s="39">
        <f t="shared" si="68"/>
        <v>394</v>
      </c>
      <c r="C965" s="39">
        <f t="shared" si="69"/>
        <v>454</v>
      </c>
      <c r="F965" s="25" t="s">
        <v>1751</v>
      </c>
      <c r="G965" s="22">
        <v>15</v>
      </c>
      <c r="H965" s="22">
        <v>54</v>
      </c>
      <c r="I965" s="22">
        <v>56.8</v>
      </c>
      <c r="J965" s="22">
        <v>34</v>
      </c>
      <c r="K965" s="22">
        <v>21</v>
      </c>
      <c r="L965" s="22">
        <v>45</v>
      </c>
      <c r="M965" s="22" t="s">
        <v>1751</v>
      </c>
      <c r="N965" s="22" t="s">
        <v>1749</v>
      </c>
    </row>
    <row r="966" spans="1:14">
      <c r="A966" s="335">
        <v>959</v>
      </c>
      <c r="B966" s="39">
        <f t="shared" ref="B966:B1005" si="70">IF(B965=F966,A966,B965)</f>
        <v>394</v>
      </c>
      <c r="C966" s="39">
        <f t="shared" ref="C966:C1005" si="71" xml:space="preserve"> IF(C965=F966,A966,C965)</f>
        <v>454</v>
      </c>
      <c r="F966" s="25" t="s">
        <v>1752</v>
      </c>
      <c r="G966" s="22">
        <v>9</v>
      </c>
      <c r="H966" s="22">
        <v>37</v>
      </c>
      <c r="I966" s="22">
        <v>5.3</v>
      </c>
      <c r="J966" s="22">
        <v>81</v>
      </c>
      <c r="K966" s="22">
        <v>19</v>
      </c>
      <c r="L966" s="22">
        <v>35</v>
      </c>
      <c r="M966" s="22" t="s">
        <v>1746</v>
      </c>
      <c r="N966" s="22" t="s">
        <v>1746</v>
      </c>
    </row>
    <row r="967" spans="1:14">
      <c r="A967" s="335">
        <v>960</v>
      </c>
      <c r="B967" s="39">
        <f t="shared" si="70"/>
        <v>394</v>
      </c>
      <c r="C967" s="39">
        <f t="shared" si="71"/>
        <v>454</v>
      </c>
      <c r="F967" s="25" t="s">
        <v>1753</v>
      </c>
      <c r="G967" s="22">
        <v>12</v>
      </c>
      <c r="H967" s="22">
        <v>12</v>
      </c>
      <c r="I967" s="22">
        <v>11.9</v>
      </c>
      <c r="J967" s="22">
        <v>77</v>
      </c>
      <c r="K967" s="22">
        <v>36</v>
      </c>
      <c r="L967" s="22">
        <v>58</v>
      </c>
      <c r="M967" s="22" t="s">
        <v>1747</v>
      </c>
      <c r="N967" s="22" t="s">
        <v>1747</v>
      </c>
    </row>
    <row r="968" spans="1:14">
      <c r="A968" s="335">
        <v>961</v>
      </c>
      <c r="B968" s="39">
        <f t="shared" si="70"/>
        <v>394</v>
      </c>
      <c r="C968" s="39">
        <f t="shared" si="71"/>
        <v>454</v>
      </c>
      <c r="F968" s="25" t="s">
        <v>1754</v>
      </c>
      <c r="G968" s="22">
        <v>15</v>
      </c>
      <c r="H968" s="22">
        <v>18</v>
      </c>
      <c r="I968" s="22">
        <v>20.3</v>
      </c>
      <c r="J968" s="22">
        <v>26</v>
      </c>
      <c r="K968" s="22">
        <v>50</v>
      </c>
      <c r="L968" s="22">
        <v>25</v>
      </c>
      <c r="M968" s="22" t="s">
        <v>1750</v>
      </c>
      <c r="N968" s="22" t="s">
        <v>1749</v>
      </c>
    </row>
    <row r="969" spans="1:14">
      <c r="A969" s="335">
        <v>962</v>
      </c>
      <c r="B969" s="39">
        <f t="shared" si="70"/>
        <v>394</v>
      </c>
      <c r="C969" s="39">
        <f t="shared" si="71"/>
        <v>454</v>
      </c>
      <c r="F969" s="25" t="s">
        <v>1755</v>
      </c>
      <c r="G969" s="22">
        <v>15</v>
      </c>
      <c r="H969" s="22">
        <v>38</v>
      </c>
      <c r="I969" s="22">
        <v>12.9</v>
      </c>
      <c r="J969" s="22">
        <v>36</v>
      </c>
      <c r="K969" s="22">
        <v>14</v>
      </c>
      <c r="L969" s="22">
        <v>49</v>
      </c>
      <c r="M969" s="22" t="s">
        <v>1748</v>
      </c>
      <c r="N969" s="22" t="s">
        <v>1749</v>
      </c>
    </row>
    <row r="970" spans="1:14">
      <c r="A970" s="335">
        <v>963</v>
      </c>
      <c r="B970" s="39">
        <f t="shared" si="70"/>
        <v>394</v>
      </c>
      <c r="C970" s="39">
        <f t="shared" si="71"/>
        <v>454</v>
      </c>
      <c r="F970" s="25" t="s">
        <v>1756</v>
      </c>
      <c r="G970" s="22">
        <v>15</v>
      </c>
      <c r="H970" s="22">
        <v>54</v>
      </c>
      <c r="I970" s="22">
        <v>56.8</v>
      </c>
      <c r="J970" s="22">
        <v>34</v>
      </c>
      <c r="K970" s="22">
        <v>21</v>
      </c>
      <c r="L970" s="22">
        <v>45</v>
      </c>
      <c r="M970" s="22" t="s">
        <v>1751</v>
      </c>
      <c r="N970" s="22" t="s">
        <v>1749</v>
      </c>
    </row>
    <row r="971" spans="1:14">
      <c r="A971" s="335">
        <v>964</v>
      </c>
      <c r="B971" s="39">
        <f t="shared" si="70"/>
        <v>394</v>
      </c>
      <c r="C971" s="39">
        <f t="shared" si="71"/>
        <v>454</v>
      </c>
      <c r="F971" s="27" t="s">
        <v>2653</v>
      </c>
      <c r="G971" s="26"/>
      <c r="H971" s="26"/>
      <c r="I971" s="26"/>
      <c r="J971" s="26"/>
      <c r="K971" s="26"/>
      <c r="L971" s="26"/>
      <c r="M971" s="26" t="s">
        <v>1757</v>
      </c>
      <c r="N971" s="26" t="s">
        <v>1758</v>
      </c>
    </row>
    <row r="972" spans="1:14">
      <c r="A972" s="335">
        <v>965</v>
      </c>
      <c r="B972" s="39">
        <f t="shared" si="70"/>
        <v>394</v>
      </c>
      <c r="C972" s="39">
        <f t="shared" si="71"/>
        <v>454</v>
      </c>
      <c r="F972" s="25" t="s">
        <v>2654</v>
      </c>
      <c r="G972" s="22">
        <v>5</v>
      </c>
      <c r="H972" s="22">
        <v>55</v>
      </c>
      <c r="I972" s="22">
        <v>10.3</v>
      </c>
      <c r="J972" s="22">
        <v>7</v>
      </c>
      <c r="K972" s="22">
        <v>24</v>
      </c>
      <c r="L972" s="22">
        <v>25</v>
      </c>
      <c r="M972" s="22" t="s">
        <v>1759</v>
      </c>
      <c r="N972" s="22" t="s">
        <v>1760</v>
      </c>
    </row>
    <row r="973" spans="1:14">
      <c r="A973" s="335">
        <v>966</v>
      </c>
      <c r="B973" s="39">
        <f t="shared" si="70"/>
        <v>394</v>
      </c>
      <c r="C973" s="39">
        <f t="shared" si="71"/>
        <v>454</v>
      </c>
      <c r="F973" s="25" t="s">
        <v>2655</v>
      </c>
      <c r="G973" s="22">
        <v>5</v>
      </c>
      <c r="H973" s="22">
        <v>14</v>
      </c>
      <c r="I973" s="22">
        <v>32.299999999999997</v>
      </c>
      <c r="J973" s="22">
        <v>-8</v>
      </c>
      <c r="K973" s="22">
        <v>-12</v>
      </c>
      <c r="L973" s="22">
        <v>-6</v>
      </c>
      <c r="M973" s="22" t="s">
        <v>1761</v>
      </c>
      <c r="N973" s="22" t="s">
        <v>1762</v>
      </c>
    </row>
    <row r="974" spans="1:14">
      <c r="A974" s="335">
        <v>967</v>
      </c>
      <c r="B974" s="39">
        <f t="shared" si="70"/>
        <v>394</v>
      </c>
      <c r="C974" s="39">
        <f t="shared" si="71"/>
        <v>454</v>
      </c>
      <c r="F974" s="25" t="s">
        <v>2656</v>
      </c>
      <c r="G974" s="22">
        <v>5</v>
      </c>
      <c r="H974" s="22">
        <v>25</v>
      </c>
      <c r="I974" s="22">
        <v>7.9</v>
      </c>
      <c r="J974" s="22">
        <v>6</v>
      </c>
      <c r="K974" s="22">
        <v>20</v>
      </c>
      <c r="L974" s="22">
        <v>59</v>
      </c>
      <c r="M974" s="22" t="s">
        <v>1763</v>
      </c>
      <c r="N974" s="22" t="s">
        <v>1764</v>
      </c>
    </row>
    <row r="975" spans="1:14">
      <c r="A975" s="335">
        <v>968</v>
      </c>
      <c r="B975" s="39">
        <f t="shared" si="70"/>
        <v>394</v>
      </c>
      <c r="C975" s="39">
        <f t="shared" si="71"/>
        <v>454</v>
      </c>
      <c r="F975" s="25" t="s">
        <v>2657</v>
      </c>
      <c r="G975" s="22">
        <v>5</v>
      </c>
      <c r="H975" s="22">
        <v>32</v>
      </c>
      <c r="I975" s="22">
        <v>0.4</v>
      </c>
      <c r="J975" s="22">
        <v>0</v>
      </c>
      <c r="K975" s="22">
        <v>-17</v>
      </c>
      <c r="L975" s="22">
        <v>-57</v>
      </c>
      <c r="M975" s="22" t="s">
        <v>1765</v>
      </c>
      <c r="N975" s="22" t="s">
        <v>1766</v>
      </c>
    </row>
    <row r="976" spans="1:14">
      <c r="A976" s="335">
        <v>969</v>
      </c>
      <c r="B976" s="39">
        <f t="shared" si="70"/>
        <v>394</v>
      </c>
      <c r="C976" s="39">
        <f t="shared" si="71"/>
        <v>454</v>
      </c>
      <c r="F976" s="25" t="s">
        <v>2658</v>
      </c>
      <c r="G976" s="22">
        <v>5</v>
      </c>
      <c r="H976" s="22">
        <v>36</v>
      </c>
      <c r="I976" s="22">
        <v>12.8</v>
      </c>
      <c r="J976" s="22">
        <v>-1</v>
      </c>
      <c r="K976" s="22">
        <v>-12</v>
      </c>
      <c r="L976" s="22">
        <v>-7</v>
      </c>
      <c r="M976" s="22" t="s">
        <v>1767</v>
      </c>
      <c r="N976" s="22" t="s">
        <v>1768</v>
      </c>
    </row>
    <row r="977" spans="1:14">
      <c r="A977" s="335">
        <v>970</v>
      </c>
      <c r="B977" s="39">
        <f t="shared" si="70"/>
        <v>394</v>
      </c>
      <c r="C977" s="39">
        <f t="shared" si="71"/>
        <v>454</v>
      </c>
      <c r="F977" s="25" t="s">
        <v>2659</v>
      </c>
      <c r="G977" s="22">
        <v>5</v>
      </c>
      <c r="H977" s="22">
        <v>40</v>
      </c>
      <c r="I977" s="22">
        <v>45.5</v>
      </c>
      <c r="J977" s="22">
        <v>-1</v>
      </c>
      <c r="K977" s="22">
        <v>-56</v>
      </c>
      <c r="L977" s="22">
        <v>-33</v>
      </c>
      <c r="M977" s="22" t="s">
        <v>1769</v>
      </c>
      <c r="N977" s="22" t="s">
        <v>1770</v>
      </c>
    </row>
    <row r="978" spans="1:14">
      <c r="A978" s="335">
        <v>971</v>
      </c>
      <c r="B978" s="39">
        <f t="shared" si="70"/>
        <v>394</v>
      </c>
      <c r="C978" s="39">
        <f t="shared" si="71"/>
        <v>454</v>
      </c>
      <c r="F978" s="25" t="s">
        <v>2660</v>
      </c>
      <c r="G978" s="22">
        <v>5</v>
      </c>
      <c r="H978" s="22">
        <v>24</v>
      </c>
      <c r="I978" s="22">
        <v>28.6</v>
      </c>
      <c r="J978" s="22">
        <v>-2</v>
      </c>
      <c r="K978" s="22">
        <v>-23</v>
      </c>
      <c r="L978" s="22">
        <v>-50</v>
      </c>
      <c r="M978" s="22" t="s">
        <v>1771</v>
      </c>
      <c r="N978" s="22" t="s">
        <v>1772</v>
      </c>
    </row>
    <row r="979" spans="1:14">
      <c r="A979" s="335">
        <v>972</v>
      </c>
      <c r="B979" s="39">
        <f t="shared" si="70"/>
        <v>394</v>
      </c>
      <c r="C979" s="39">
        <f t="shared" si="71"/>
        <v>454</v>
      </c>
      <c r="F979" s="25" t="s">
        <v>2661</v>
      </c>
      <c r="G979" s="22">
        <v>5</v>
      </c>
      <c r="H979" s="22">
        <v>35</v>
      </c>
      <c r="I979" s="22">
        <v>18</v>
      </c>
      <c r="J979" s="22">
        <v>-5</v>
      </c>
      <c r="K979" s="22">
        <v>-24</v>
      </c>
      <c r="L979" s="22">
        <v>0</v>
      </c>
      <c r="M979" s="22" t="s">
        <v>1773</v>
      </c>
      <c r="N979" s="22" t="s">
        <v>1774</v>
      </c>
    </row>
    <row r="980" spans="1:14">
      <c r="A980" s="335">
        <v>973</v>
      </c>
      <c r="B980" s="39">
        <f t="shared" si="70"/>
        <v>394</v>
      </c>
      <c r="C980" s="39">
        <f t="shared" si="71"/>
        <v>454</v>
      </c>
      <c r="F980" s="25" t="s">
        <v>2662</v>
      </c>
      <c r="G980" s="22">
        <v>5</v>
      </c>
      <c r="H980" s="22">
        <v>47</v>
      </c>
      <c r="I980" s="22">
        <v>45.4</v>
      </c>
      <c r="J980" s="22">
        <v>-9</v>
      </c>
      <c r="K980" s="22">
        <v>-40</v>
      </c>
      <c r="L980" s="22">
        <v>-11</v>
      </c>
      <c r="M980" s="22" t="s">
        <v>1775</v>
      </c>
      <c r="N980" s="22" t="s">
        <v>1776</v>
      </c>
    </row>
    <row r="981" spans="1:14">
      <c r="A981" s="335">
        <v>974</v>
      </c>
      <c r="B981" s="39">
        <f t="shared" si="70"/>
        <v>394</v>
      </c>
      <c r="C981" s="39">
        <f t="shared" si="71"/>
        <v>454</v>
      </c>
      <c r="F981" s="25" t="s">
        <v>2663</v>
      </c>
      <c r="G981" s="22">
        <v>5</v>
      </c>
      <c r="H981" s="22">
        <v>35</v>
      </c>
      <c r="I981" s="22">
        <v>8.3000000000000007</v>
      </c>
      <c r="J981" s="22">
        <v>9</v>
      </c>
      <c r="K981" s="22">
        <v>56</v>
      </c>
      <c r="L981" s="22">
        <v>3</v>
      </c>
      <c r="M981" s="22" t="s">
        <v>1777</v>
      </c>
      <c r="N981" s="22" t="s">
        <v>1778</v>
      </c>
    </row>
    <row r="982" spans="1:14">
      <c r="A982" s="335">
        <v>975</v>
      </c>
      <c r="B982" s="39">
        <f t="shared" si="70"/>
        <v>394</v>
      </c>
      <c r="C982" s="39">
        <f t="shared" si="71"/>
        <v>454</v>
      </c>
      <c r="F982" s="25" t="s">
        <v>2664</v>
      </c>
      <c r="G982" s="22">
        <v>5</v>
      </c>
      <c r="H982" s="22">
        <v>38</v>
      </c>
      <c r="I982" s="22">
        <v>44.8</v>
      </c>
      <c r="J982" s="22">
        <v>-2</v>
      </c>
      <c r="K982" s="22">
        <v>-36</v>
      </c>
      <c r="L982" s="22">
        <v>0</v>
      </c>
      <c r="M982" s="22" t="s">
        <v>1779</v>
      </c>
      <c r="N982" s="22" t="s">
        <v>1780</v>
      </c>
    </row>
    <row r="983" spans="1:14">
      <c r="A983" s="335">
        <v>976</v>
      </c>
      <c r="B983" s="39">
        <f t="shared" si="70"/>
        <v>394</v>
      </c>
      <c r="C983" s="39">
        <f t="shared" si="71"/>
        <v>454</v>
      </c>
      <c r="F983" s="46" t="s">
        <v>3981</v>
      </c>
      <c r="G983" s="46"/>
      <c r="H983" s="46"/>
      <c r="I983" s="46"/>
      <c r="J983" s="46"/>
      <c r="K983" s="46"/>
      <c r="L983" s="46"/>
      <c r="M983" s="46"/>
      <c r="N983" s="47"/>
    </row>
    <row r="984" spans="1:14">
      <c r="A984" s="335">
        <v>977</v>
      </c>
      <c r="B984" s="39">
        <f t="shared" si="70"/>
        <v>394</v>
      </c>
      <c r="C984" s="39">
        <f t="shared" si="71"/>
        <v>454</v>
      </c>
      <c r="F984" s="41" t="s">
        <v>1781</v>
      </c>
      <c r="G984" s="42">
        <v>21</v>
      </c>
      <c r="H984" s="42">
        <v>59</v>
      </c>
      <c r="I984" s="42">
        <v>60</v>
      </c>
      <c r="J984" s="42">
        <v>29</v>
      </c>
      <c r="K984" s="42">
        <v>59</v>
      </c>
      <c r="L984" s="42">
        <v>60</v>
      </c>
    </row>
    <row r="985" spans="1:14">
      <c r="A985" s="335">
        <v>978</v>
      </c>
      <c r="B985" s="39">
        <f t="shared" si="70"/>
        <v>394</v>
      </c>
      <c r="C985" s="39">
        <f t="shared" si="71"/>
        <v>454</v>
      </c>
      <c r="F985" s="41" t="s">
        <v>1782</v>
      </c>
      <c r="G985" s="42">
        <v>22</v>
      </c>
      <c r="H985" s="42">
        <v>59</v>
      </c>
      <c r="I985" s="42">
        <v>60</v>
      </c>
      <c r="J985" s="42">
        <v>49</v>
      </c>
      <c r="K985" s="42">
        <v>59</v>
      </c>
      <c r="L985" s="42">
        <v>60</v>
      </c>
    </row>
    <row r="986" spans="1:14">
      <c r="A986" s="335">
        <v>979</v>
      </c>
      <c r="B986" s="39">
        <f t="shared" si="70"/>
        <v>394</v>
      </c>
      <c r="C986" s="39">
        <f t="shared" si="71"/>
        <v>454</v>
      </c>
      <c r="F986" s="41" t="s">
        <v>1783</v>
      </c>
      <c r="G986" s="42">
        <v>19</v>
      </c>
      <c r="H986" s="42">
        <v>59.5</v>
      </c>
      <c r="I986" s="42">
        <v>30</v>
      </c>
      <c r="J986" s="42">
        <v>9</v>
      </c>
      <c r="K986" s="42">
        <v>59.5</v>
      </c>
      <c r="L986" s="42">
        <v>30</v>
      </c>
    </row>
    <row r="987" spans="1:14">
      <c r="A987" s="335">
        <v>980</v>
      </c>
      <c r="B987" s="39">
        <f t="shared" si="70"/>
        <v>394</v>
      </c>
      <c r="C987" s="39">
        <f t="shared" si="71"/>
        <v>454</v>
      </c>
      <c r="F987" s="41" t="s">
        <v>1784</v>
      </c>
      <c r="G987" s="42">
        <v>0</v>
      </c>
      <c r="H987" s="42">
        <v>59</v>
      </c>
      <c r="I987" s="42">
        <v>60</v>
      </c>
      <c r="J987" s="42">
        <v>-29</v>
      </c>
      <c r="K987" s="42">
        <v>-59</v>
      </c>
      <c r="L987" s="42">
        <v>-60</v>
      </c>
    </row>
    <row r="988" spans="1:14">
      <c r="A988" s="335">
        <v>981</v>
      </c>
      <c r="B988" s="39">
        <f t="shared" si="70"/>
        <v>394</v>
      </c>
      <c r="C988" s="39">
        <f t="shared" si="71"/>
        <v>454</v>
      </c>
      <c r="F988" s="41" t="s">
        <v>1785</v>
      </c>
      <c r="G988" s="42">
        <v>21</v>
      </c>
      <c r="H988" s="42">
        <v>59</v>
      </c>
      <c r="I988" s="42">
        <v>60</v>
      </c>
      <c r="J988" s="42">
        <v>-9</v>
      </c>
      <c r="K988" s="42">
        <v>-59</v>
      </c>
      <c r="L988" s="42">
        <v>-60</v>
      </c>
    </row>
    <row r="989" spans="1:14">
      <c r="A989" s="335">
        <v>982</v>
      </c>
      <c r="B989" s="39">
        <f t="shared" si="70"/>
        <v>394</v>
      </c>
      <c r="C989" s="39">
        <f t="shared" si="71"/>
        <v>454</v>
      </c>
      <c r="F989" s="46" t="s">
        <v>3981</v>
      </c>
      <c r="G989" s="46"/>
      <c r="H989" s="46"/>
      <c r="I989" s="46"/>
      <c r="J989" s="46"/>
      <c r="K989" s="46"/>
      <c r="L989" s="46"/>
      <c r="M989" s="46"/>
      <c r="N989" s="47"/>
    </row>
    <row r="990" spans="1:14">
      <c r="A990" s="335">
        <v>983</v>
      </c>
      <c r="B990" s="39">
        <f t="shared" si="70"/>
        <v>394</v>
      </c>
      <c r="C990" s="39">
        <f t="shared" si="71"/>
        <v>454</v>
      </c>
      <c r="F990" s="25" t="s">
        <v>1786</v>
      </c>
      <c r="G990" s="22">
        <v>32</v>
      </c>
      <c r="H990" s="22">
        <v>17</v>
      </c>
      <c r="I990" s="22">
        <v>14</v>
      </c>
      <c r="J990" s="22">
        <v>29</v>
      </c>
      <c r="K990" s="22">
        <v>59</v>
      </c>
      <c r="L990" s="22">
        <v>23</v>
      </c>
      <c r="M990" s="22" t="s">
        <v>1787</v>
      </c>
      <c r="N990" s="22" t="s">
        <v>1787</v>
      </c>
    </row>
    <row r="991" spans="1:14">
      <c r="A991" s="335">
        <v>984</v>
      </c>
      <c r="B991" s="39">
        <f t="shared" si="70"/>
        <v>394</v>
      </c>
      <c r="C991" s="39">
        <f t="shared" si="71"/>
        <v>454</v>
      </c>
      <c r="F991" s="25" t="s">
        <v>1788</v>
      </c>
      <c r="G991" s="42">
        <v>-1</v>
      </c>
      <c r="H991" s="42">
        <v>-34</v>
      </c>
      <c r="I991" s="42">
        <v>-56</v>
      </c>
      <c r="J991" s="42">
        <v>10</v>
      </c>
      <c r="K991" s="42">
        <v>23</v>
      </c>
      <c r="L991" s="42">
        <v>4</v>
      </c>
      <c r="M991" s="22" t="s">
        <v>1789</v>
      </c>
      <c r="N991" s="22" t="s">
        <v>1789</v>
      </c>
    </row>
    <row r="992" spans="1:14">
      <c r="A992" s="335">
        <v>985</v>
      </c>
      <c r="B992" s="39">
        <f t="shared" si="70"/>
        <v>394</v>
      </c>
      <c r="C992" s="39">
        <f t="shared" si="71"/>
        <v>454</v>
      </c>
      <c r="F992" s="25" t="s">
        <v>1790</v>
      </c>
      <c r="G992" s="22">
        <v>1</v>
      </c>
      <c r="H992" s="22">
        <v>59</v>
      </c>
      <c r="I992" s="22">
        <v>30</v>
      </c>
      <c r="J992" s="22">
        <v>323</v>
      </c>
      <c r="K992" s="22">
        <v>10</v>
      </c>
      <c r="L992" s="22">
        <v>3</v>
      </c>
      <c r="M992" s="22" t="s">
        <v>1791</v>
      </c>
      <c r="N992" s="22" t="s">
        <v>1791</v>
      </c>
    </row>
    <row r="993" spans="1:16">
      <c r="A993" s="335">
        <v>986</v>
      </c>
      <c r="B993" s="39">
        <f t="shared" si="70"/>
        <v>394</v>
      </c>
      <c r="C993" s="39">
        <f t="shared" si="71"/>
        <v>454</v>
      </c>
      <c r="F993" s="25" t="s">
        <v>1792</v>
      </c>
      <c r="G993" s="22">
        <v>22</v>
      </c>
      <c r="H993" s="22">
        <v>59</v>
      </c>
      <c r="I993" s="22">
        <v>45</v>
      </c>
      <c r="J993" s="22">
        <v>-91</v>
      </c>
      <c r="K993" s="22">
        <v>-1</v>
      </c>
      <c r="L993" s="22">
        <v>-34</v>
      </c>
      <c r="M993" s="22" t="s">
        <v>1793</v>
      </c>
      <c r="N993" s="22" t="s">
        <v>1793</v>
      </c>
    </row>
    <row r="994" spans="1:16">
      <c r="A994" s="335">
        <v>987</v>
      </c>
      <c r="B994" s="39">
        <f t="shared" si="70"/>
        <v>394</v>
      </c>
      <c r="C994" s="39">
        <f t="shared" si="71"/>
        <v>454</v>
      </c>
      <c r="F994" s="25" t="s">
        <v>1794</v>
      </c>
      <c r="G994" s="22">
        <v>1</v>
      </c>
      <c r="H994" s="22">
        <v>59</v>
      </c>
      <c r="I994" s="22">
        <v>45</v>
      </c>
      <c r="J994" s="22">
        <v>-30</v>
      </c>
      <c r="K994" s="22">
        <v>0</v>
      </c>
      <c r="L994" s="22">
        <v>60</v>
      </c>
      <c r="M994" s="22" t="s">
        <v>1795</v>
      </c>
      <c r="N994" s="43" t="s">
        <v>1796</v>
      </c>
    </row>
    <row r="995" spans="1:16">
      <c r="A995" s="335">
        <v>988</v>
      </c>
      <c r="B995" s="39">
        <f t="shared" si="70"/>
        <v>394</v>
      </c>
      <c r="C995" s="39">
        <f t="shared" si="71"/>
        <v>454</v>
      </c>
      <c r="F995" s="603" t="s">
        <v>1797</v>
      </c>
      <c r="G995" s="33">
        <v>15</v>
      </c>
      <c r="H995" s="33">
        <v>59</v>
      </c>
      <c r="I995" s="33">
        <v>45</v>
      </c>
      <c r="J995" s="33">
        <v>0</v>
      </c>
      <c r="K995" s="33">
        <v>-10</v>
      </c>
      <c r="L995" s="33">
        <v>25</v>
      </c>
      <c r="M995" s="22" t="s">
        <v>1795</v>
      </c>
      <c r="N995" s="43" t="s">
        <v>1796</v>
      </c>
    </row>
    <row r="996" spans="1:16">
      <c r="A996" s="335">
        <v>989</v>
      </c>
      <c r="B996" s="39">
        <f t="shared" si="70"/>
        <v>394</v>
      </c>
      <c r="C996" s="39">
        <f t="shared" si="71"/>
        <v>454</v>
      </c>
      <c r="F996" s="603" t="s">
        <v>1798</v>
      </c>
      <c r="G996" s="33">
        <v>13</v>
      </c>
      <c r="H996" s="33">
        <v>59</v>
      </c>
      <c r="I996" s="33">
        <v>45</v>
      </c>
      <c r="J996" s="33">
        <v>30</v>
      </c>
      <c r="K996" s="33">
        <v>10</v>
      </c>
      <c r="L996" s="33">
        <v>-25</v>
      </c>
      <c r="M996" s="22" t="s">
        <v>1795</v>
      </c>
      <c r="N996" s="43" t="s">
        <v>1796</v>
      </c>
    </row>
    <row r="997" spans="1:16">
      <c r="A997" s="335">
        <v>990</v>
      </c>
      <c r="B997" s="39">
        <f t="shared" si="70"/>
        <v>394</v>
      </c>
      <c r="C997" s="39">
        <f t="shared" si="71"/>
        <v>454</v>
      </c>
      <c r="F997" s="603" t="s">
        <v>1799</v>
      </c>
      <c r="G997" s="33">
        <v>-13</v>
      </c>
      <c r="H997" s="33">
        <v>59</v>
      </c>
      <c r="I997" s="33">
        <v>0</v>
      </c>
      <c r="J997" s="33">
        <v>30</v>
      </c>
      <c r="K997" s="33">
        <v>10</v>
      </c>
      <c r="L997" s="33">
        <v>25</v>
      </c>
      <c r="M997" s="22" t="s">
        <v>1795</v>
      </c>
      <c r="N997" s="43" t="s">
        <v>1800</v>
      </c>
    </row>
    <row r="998" spans="1:16">
      <c r="A998" s="335">
        <v>991</v>
      </c>
      <c r="B998" s="39">
        <f t="shared" si="70"/>
        <v>394</v>
      </c>
      <c r="C998" s="39">
        <f t="shared" si="71"/>
        <v>454</v>
      </c>
      <c r="F998" s="603" t="s">
        <v>1801</v>
      </c>
      <c r="G998" s="33">
        <v>13</v>
      </c>
      <c r="H998" s="33">
        <v>-59</v>
      </c>
      <c r="I998" s="33">
        <v>45</v>
      </c>
      <c r="J998" s="33">
        <v>30</v>
      </c>
      <c r="K998" s="33">
        <v>10</v>
      </c>
      <c r="L998" s="33">
        <v>25</v>
      </c>
      <c r="M998" s="22" t="s">
        <v>1795</v>
      </c>
      <c r="N998" s="43" t="s">
        <v>1800</v>
      </c>
    </row>
    <row r="999" spans="1:16">
      <c r="A999" s="335">
        <v>992</v>
      </c>
      <c r="B999" s="39">
        <f t="shared" si="70"/>
        <v>394</v>
      </c>
      <c r="C999" s="39">
        <f t="shared" si="71"/>
        <v>454</v>
      </c>
      <c r="F999" s="603" t="s">
        <v>1802</v>
      </c>
      <c r="G999" s="33">
        <v>13</v>
      </c>
      <c r="H999" s="33">
        <v>0</v>
      </c>
      <c r="I999" s="33">
        <v>-30</v>
      </c>
      <c r="J999" s="33">
        <v>30</v>
      </c>
      <c r="K999" s="33">
        <v>0</v>
      </c>
      <c r="L999" s="33">
        <v>25</v>
      </c>
      <c r="M999" s="22" t="s">
        <v>1795</v>
      </c>
      <c r="N999" s="43" t="s">
        <v>1800</v>
      </c>
    </row>
    <row r="1000" spans="1:16">
      <c r="A1000" s="335">
        <v>993</v>
      </c>
      <c r="B1000" s="39">
        <f t="shared" si="70"/>
        <v>394</v>
      </c>
      <c r="C1000" s="39">
        <f t="shared" si="71"/>
        <v>454</v>
      </c>
      <c r="F1000" s="603" t="s">
        <v>1803</v>
      </c>
      <c r="G1000" s="33">
        <v>29</v>
      </c>
      <c r="H1000" s="33">
        <v>-59</v>
      </c>
      <c r="I1000" s="33">
        <v>60</v>
      </c>
      <c r="J1000" s="33">
        <v>301</v>
      </c>
      <c r="K1000" s="33">
        <v>0</v>
      </c>
      <c r="L1000" s="33">
        <v>-25</v>
      </c>
      <c r="M1000" s="22" t="s">
        <v>1804</v>
      </c>
      <c r="N1000" s="43" t="s">
        <v>1805</v>
      </c>
    </row>
    <row r="1001" spans="1:16">
      <c r="A1001" s="335">
        <v>994</v>
      </c>
      <c r="B1001" s="39">
        <f t="shared" si="70"/>
        <v>394</v>
      </c>
      <c r="C1001" s="39">
        <f t="shared" si="71"/>
        <v>454</v>
      </c>
      <c r="F1001" s="603" t="s">
        <v>1806</v>
      </c>
      <c r="G1001" s="33">
        <v>12</v>
      </c>
      <c r="H1001" s="33" t="s">
        <v>1807</v>
      </c>
      <c r="I1001" s="33">
        <v>35</v>
      </c>
      <c r="J1001" s="42">
        <v>41</v>
      </c>
      <c r="K1001" s="33">
        <v>10</v>
      </c>
      <c r="L1001" s="33">
        <v>0</v>
      </c>
      <c r="M1001" s="22" t="s">
        <v>1808</v>
      </c>
      <c r="N1001" s="22" t="s">
        <v>1808</v>
      </c>
    </row>
    <row r="1002" spans="1:16">
      <c r="A1002" s="335">
        <v>995</v>
      </c>
      <c r="B1002" s="39">
        <f t="shared" si="70"/>
        <v>394</v>
      </c>
      <c r="C1002" s="39">
        <f t="shared" si="71"/>
        <v>454</v>
      </c>
      <c r="F1002" s="603" t="s">
        <v>1809</v>
      </c>
      <c r="G1002" s="33">
        <v>3</v>
      </c>
      <c r="H1002" s="33">
        <v>58</v>
      </c>
      <c r="I1002" s="33">
        <v>60</v>
      </c>
      <c r="J1002" s="33">
        <v>30</v>
      </c>
      <c r="K1002" s="33" t="s">
        <v>16</v>
      </c>
      <c r="L1002" s="33">
        <v>0</v>
      </c>
      <c r="M1002" s="22" t="s">
        <v>1810</v>
      </c>
      <c r="N1002" s="22" t="s">
        <v>1811</v>
      </c>
    </row>
    <row r="1003" spans="1:16">
      <c r="A1003" s="335">
        <v>996</v>
      </c>
      <c r="B1003" s="39">
        <f t="shared" si="70"/>
        <v>394</v>
      </c>
      <c r="C1003" s="39">
        <f t="shared" si="71"/>
        <v>454</v>
      </c>
      <c r="F1003" s="48" t="s">
        <v>3982</v>
      </c>
      <c r="G1003" s="48">
        <v>0</v>
      </c>
      <c r="H1003" s="48">
        <v>0</v>
      </c>
      <c r="I1003" s="48">
        <v>0</v>
      </c>
      <c r="J1003" s="48">
        <v>0</v>
      </c>
      <c r="K1003" s="48">
        <v>0</v>
      </c>
      <c r="L1003" s="48">
        <v>0</v>
      </c>
      <c r="M1003" s="49" t="s">
        <v>3983</v>
      </c>
      <c r="N1003" s="49" t="s">
        <v>3984</v>
      </c>
      <c r="P1003" s="446"/>
    </row>
    <row r="1004" spans="1:16">
      <c r="A1004" s="335">
        <v>997</v>
      </c>
      <c r="B1004" s="39">
        <f t="shared" si="70"/>
        <v>394</v>
      </c>
      <c r="C1004" s="39">
        <f t="shared" si="71"/>
        <v>454</v>
      </c>
      <c r="F1004" s="48" t="s">
        <v>3982</v>
      </c>
      <c r="G1004" s="48">
        <v>0</v>
      </c>
      <c r="H1004" s="48">
        <v>0</v>
      </c>
      <c r="I1004" s="48">
        <v>0</v>
      </c>
      <c r="J1004" s="48">
        <v>0</v>
      </c>
      <c r="K1004" s="48">
        <v>0</v>
      </c>
      <c r="L1004" s="48">
        <v>0</v>
      </c>
      <c r="M1004" s="50" t="s">
        <v>1812</v>
      </c>
      <c r="N1004" s="50" t="s">
        <v>3985</v>
      </c>
    </row>
    <row r="1005" spans="1:16">
      <c r="A1005" s="335">
        <v>998</v>
      </c>
      <c r="B1005" s="39">
        <f t="shared" si="70"/>
        <v>394</v>
      </c>
      <c r="C1005" s="39">
        <f t="shared" si="71"/>
        <v>454</v>
      </c>
      <c r="F1005" s="48" t="s">
        <v>3982</v>
      </c>
      <c r="G1005" s="48">
        <v>0</v>
      </c>
      <c r="H1005" s="48">
        <v>0</v>
      </c>
      <c r="I1005" s="48">
        <v>0</v>
      </c>
      <c r="J1005" s="48">
        <v>0</v>
      </c>
      <c r="K1005" s="48">
        <v>0</v>
      </c>
      <c r="L1005" s="48">
        <v>0</v>
      </c>
      <c r="M1005" s="50" t="s">
        <v>1812</v>
      </c>
      <c r="N1005" s="50" t="s">
        <v>3986</v>
      </c>
    </row>
    <row r="1006" spans="1:16">
      <c r="A1006" s="335">
        <v>999</v>
      </c>
      <c r="B1006" s="39">
        <f>IF(B1005=K1209,A1006,B1005)</f>
        <v>394</v>
      </c>
      <c r="C1006" s="39">
        <f xml:space="preserve"> IF(C1005=K1209,A1006,C1005)</f>
        <v>454</v>
      </c>
      <c r="F1006" s="8" t="s">
        <v>1</v>
      </c>
      <c r="G1006" s="9" t="s">
        <v>2</v>
      </c>
      <c r="H1006" s="10" t="s">
        <v>3</v>
      </c>
      <c r="I1006" s="11" t="s">
        <v>4</v>
      </c>
      <c r="J1006" s="12" t="s">
        <v>5</v>
      </c>
      <c r="K1006" s="13" t="s">
        <v>6</v>
      </c>
      <c r="L1006" s="14"/>
      <c r="M1006" s="15" t="s">
        <v>7</v>
      </c>
      <c r="N1006" s="16" t="s">
        <v>7</v>
      </c>
    </row>
    <row r="1007" spans="1:16">
      <c r="A1007" s="335">
        <v>1000</v>
      </c>
      <c r="B1007" s="39">
        <f t="shared" ref="B1007:B1070" si="72">IF(B1006=F1007,A1007,B1006)</f>
        <v>394</v>
      </c>
      <c r="C1007" s="39">
        <f t="shared" ref="C1007:C1070" si="73" xml:space="preserve"> IF(C1006=F1007,A1007,C1006)</f>
        <v>454</v>
      </c>
      <c r="F1007" s="8" t="s">
        <v>8</v>
      </c>
      <c r="G1007" s="18" t="s">
        <v>9</v>
      </c>
      <c r="H1007" s="18" t="s">
        <v>10</v>
      </c>
      <c r="I1007" s="18" t="s">
        <v>11</v>
      </c>
      <c r="J1007" s="19" t="s">
        <v>12</v>
      </c>
      <c r="K1007" s="19" t="s">
        <v>10</v>
      </c>
      <c r="L1007" s="19" t="s">
        <v>11</v>
      </c>
      <c r="M1007" s="20" t="s">
        <v>13</v>
      </c>
      <c r="N1007" s="20" t="s">
        <v>14</v>
      </c>
    </row>
    <row r="1008" spans="1:16">
      <c r="A1008" s="335">
        <v>1001</v>
      </c>
      <c r="B1008" s="39">
        <f t="shared" si="72"/>
        <v>394</v>
      </c>
      <c r="C1008" s="39">
        <f t="shared" si="73"/>
        <v>454</v>
      </c>
    </row>
    <row r="1009" spans="1:15">
      <c r="A1009" s="335">
        <v>1002</v>
      </c>
      <c r="B1009" s="39">
        <f t="shared" si="72"/>
        <v>394</v>
      </c>
      <c r="C1009" s="39">
        <f t="shared" si="73"/>
        <v>454</v>
      </c>
    </row>
    <row r="1010" spans="1:15">
      <c r="A1010" s="335">
        <v>1003</v>
      </c>
      <c r="B1010" s="39">
        <f t="shared" si="72"/>
        <v>394</v>
      </c>
      <c r="C1010" s="39">
        <f t="shared" si="73"/>
        <v>454</v>
      </c>
    </row>
    <row r="1011" spans="1:15">
      <c r="A1011" s="335">
        <v>1004</v>
      </c>
      <c r="B1011" s="39">
        <f t="shared" si="72"/>
        <v>394</v>
      </c>
      <c r="C1011" s="39">
        <f t="shared" si="73"/>
        <v>454</v>
      </c>
    </row>
    <row r="1012" spans="1:15">
      <c r="A1012" s="335">
        <v>1005</v>
      </c>
      <c r="B1012" s="39">
        <f t="shared" si="72"/>
        <v>394</v>
      </c>
      <c r="C1012" s="39">
        <f t="shared" si="73"/>
        <v>454</v>
      </c>
    </row>
    <row r="1013" spans="1:15">
      <c r="A1013" s="335">
        <v>1006</v>
      </c>
      <c r="B1013" s="39">
        <f t="shared" si="72"/>
        <v>394</v>
      </c>
      <c r="C1013" s="39">
        <f t="shared" si="73"/>
        <v>454</v>
      </c>
    </row>
    <row r="1014" spans="1:15">
      <c r="A1014" s="335">
        <v>1007</v>
      </c>
      <c r="B1014" s="39">
        <f t="shared" si="72"/>
        <v>394</v>
      </c>
      <c r="C1014" s="39">
        <f t="shared" si="73"/>
        <v>454</v>
      </c>
    </row>
    <row r="1015" spans="1:15">
      <c r="A1015" s="335">
        <v>1008</v>
      </c>
      <c r="B1015" s="39">
        <f t="shared" si="72"/>
        <v>394</v>
      </c>
      <c r="C1015" s="39">
        <f t="shared" si="73"/>
        <v>454</v>
      </c>
    </row>
    <row r="1016" spans="1:15">
      <c r="A1016" s="335">
        <v>1009</v>
      </c>
      <c r="B1016" s="39">
        <f t="shared" si="72"/>
        <v>394</v>
      </c>
      <c r="C1016" s="39">
        <f t="shared" si="73"/>
        <v>454</v>
      </c>
    </row>
    <row r="1017" spans="1:15">
      <c r="A1017" s="335">
        <v>1010</v>
      </c>
      <c r="B1017" s="39">
        <f t="shared" si="72"/>
        <v>394</v>
      </c>
      <c r="C1017" s="39">
        <f t="shared" si="73"/>
        <v>454</v>
      </c>
      <c r="O1017" s="446"/>
    </row>
    <row r="1018" spans="1:15">
      <c r="A1018" s="335">
        <v>1011</v>
      </c>
      <c r="B1018" s="39">
        <f t="shared" si="72"/>
        <v>394</v>
      </c>
      <c r="C1018" s="39">
        <f t="shared" si="73"/>
        <v>454</v>
      </c>
    </row>
    <row r="1019" spans="1:15">
      <c r="A1019" s="335">
        <v>1012</v>
      </c>
      <c r="B1019" s="39">
        <f t="shared" si="72"/>
        <v>394</v>
      </c>
      <c r="C1019" s="39">
        <f t="shared" si="73"/>
        <v>454</v>
      </c>
    </row>
    <row r="1020" spans="1:15">
      <c r="A1020" s="335">
        <v>1013</v>
      </c>
      <c r="B1020" s="39">
        <f t="shared" si="72"/>
        <v>394</v>
      </c>
      <c r="C1020" s="39">
        <f t="shared" si="73"/>
        <v>454</v>
      </c>
    </row>
    <row r="1021" spans="1:15">
      <c r="A1021" s="335">
        <v>1014</v>
      </c>
      <c r="B1021" s="39">
        <f t="shared" si="72"/>
        <v>394</v>
      </c>
      <c r="C1021" s="39">
        <f t="shared" si="73"/>
        <v>454</v>
      </c>
    </row>
    <row r="1022" spans="1:15">
      <c r="A1022" s="335">
        <v>1015</v>
      </c>
      <c r="B1022" s="39">
        <f t="shared" si="72"/>
        <v>394</v>
      </c>
      <c r="C1022" s="39">
        <f t="shared" si="73"/>
        <v>454</v>
      </c>
    </row>
    <row r="1023" spans="1:15">
      <c r="A1023" s="335">
        <v>1016</v>
      </c>
      <c r="B1023" s="39">
        <f t="shared" si="72"/>
        <v>394</v>
      </c>
      <c r="C1023" s="39">
        <f t="shared" si="73"/>
        <v>454</v>
      </c>
    </row>
    <row r="1024" spans="1:15">
      <c r="A1024" s="335">
        <v>1017</v>
      </c>
      <c r="B1024" s="39">
        <f t="shared" si="72"/>
        <v>394</v>
      </c>
      <c r="C1024" s="39">
        <f t="shared" si="73"/>
        <v>454</v>
      </c>
    </row>
    <row r="1025" spans="1:3">
      <c r="A1025" s="335">
        <v>1018</v>
      </c>
      <c r="B1025" s="39">
        <f t="shared" si="72"/>
        <v>394</v>
      </c>
      <c r="C1025" s="39">
        <f t="shared" si="73"/>
        <v>454</v>
      </c>
    </row>
    <row r="1026" spans="1:3">
      <c r="A1026" s="335">
        <v>1019</v>
      </c>
      <c r="B1026" s="39">
        <f t="shared" si="72"/>
        <v>394</v>
      </c>
      <c r="C1026" s="39">
        <f t="shared" si="73"/>
        <v>454</v>
      </c>
    </row>
    <row r="1027" spans="1:3">
      <c r="A1027" s="335">
        <v>1020</v>
      </c>
      <c r="B1027" s="39">
        <f t="shared" si="72"/>
        <v>394</v>
      </c>
      <c r="C1027" s="39">
        <f t="shared" si="73"/>
        <v>454</v>
      </c>
    </row>
    <row r="1028" spans="1:3">
      <c r="A1028" s="335">
        <v>1021</v>
      </c>
      <c r="B1028" s="39">
        <f t="shared" si="72"/>
        <v>394</v>
      </c>
      <c r="C1028" s="39">
        <f t="shared" si="73"/>
        <v>454</v>
      </c>
    </row>
    <row r="1029" spans="1:3">
      <c r="A1029" s="335">
        <v>1022</v>
      </c>
      <c r="B1029" s="39">
        <f t="shared" si="72"/>
        <v>394</v>
      </c>
      <c r="C1029" s="39">
        <f t="shared" si="73"/>
        <v>454</v>
      </c>
    </row>
    <row r="1030" spans="1:3">
      <c r="A1030" s="335">
        <v>1023</v>
      </c>
      <c r="B1030" s="39">
        <f t="shared" si="72"/>
        <v>394</v>
      </c>
      <c r="C1030" s="39">
        <f t="shared" si="73"/>
        <v>454</v>
      </c>
    </row>
    <row r="1031" spans="1:3">
      <c r="A1031" s="335">
        <v>1024</v>
      </c>
      <c r="B1031" s="39">
        <f t="shared" si="72"/>
        <v>394</v>
      </c>
      <c r="C1031" s="39">
        <f t="shared" si="73"/>
        <v>454</v>
      </c>
    </row>
    <row r="1032" spans="1:3">
      <c r="A1032" s="335">
        <v>1025</v>
      </c>
      <c r="B1032" s="39">
        <f t="shared" si="72"/>
        <v>394</v>
      </c>
      <c r="C1032" s="39">
        <f t="shared" si="73"/>
        <v>454</v>
      </c>
    </row>
    <row r="1033" spans="1:3">
      <c r="A1033" s="335">
        <v>1026</v>
      </c>
      <c r="B1033" s="39">
        <f t="shared" si="72"/>
        <v>394</v>
      </c>
      <c r="C1033" s="39">
        <f t="shared" si="73"/>
        <v>454</v>
      </c>
    </row>
    <row r="1034" spans="1:3">
      <c r="A1034" s="335">
        <v>1027</v>
      </c>
      <c r="B1034" s="39">
        <f t="shared" si="72"/>
        <v>394</v>
      </c>
      <c r="C1034" s="39">
        <f t="shared" si="73"/>
        <v>454</v>
      </c>
    </row>
    <row r="1035" spans="1:3">
      <c r="A1035" s="335">
        <v>1028</v>
      </c>
      <c r="B1035" s="39">
        <f t="shared" si="72"/>
        <v>394</v>
      </c>
      <c r="C1035" s="39">
        <f t="shared" si="73"/>
        <v>454</v>
      </c>
    </row>
    <row r="1036" spans="1:3">
      <c r="A1036" s="335">
        <v>1029</v>
      </c>
      <c r="B1036" s="39">
        <f t="shared" si="72"/>
        <v>394</v>
      </c>
      <c r="C1036" s="39">
        <f t="shared" si="73"/>
        <v>454</v>
      </c>
    </row>
    <row r="1037" spans="1:3">
      <c r="A1037" s="335">
        <v>1030</v>
      </c>
      <c r="B1037" s="39">
        <f t="shared" si="72"/>
        <v>394</v>
      </c>
      <c r="C1037" s="39">
        <f t="shared" si="73"/>
        <v>454</v>
      </c>
    </row>
    <row r="1038" spans="1:3">
      <c r="A1038" s="335">
        <v>1031</v>
      </c>
      <c r="B1038" s="39">
        <f t="shared" si="72"/>
        <v>394</v>
      </c>
      <c r="C1038" s="39">
        <f t="shared" si="73"/>
        <v>454</v>
      </c>
    </row>
    <row r="1039" spans="1:3">
      <c r="A1039" s="335">
        <v>1032</v>
      </c>
      <c r="B1039" s="39">
        <f t="shared" si="72"/>
        <v>394</v>
      </c>
      <c r="C1039" s="39">
        <f t="shared" si="73"/>
        <v>454</v>
      </c>
    </row>
    <row r="1040" spans="1:3">
      <c r="A1040" s="335">
        <v>1033</v>
      </c>
      <c r="B1040" s="39">
        <f t="shared" si="72"/>
        <v>394</v>
      </c>
      <c r="C1040" s="39">
        <f t="shared" si="73"/>
        <v>454</v>
      </c>
    </row>
    <row r="1041" spans="1:3">
      <c r="A1041" s="335">
        <v>1034</v>
      </c>
      <c r="B1041" s="39">
        <f t="shared" si="72"/>
        <v>394</v>
      </c>
      <c r="C1041" s="39">
        <f t="shared" si="73"/>
        <v>454</v>
      </c>
    </row>
    <row r="1042" spans="1:3">
      <c r="A1042" s="335">
        <v>1035</v>
      </c>
      <c r="B1042" s="39">
        <f t="shared" si="72"/>
        <v>394</v>
      </c>
      <c r="C1042" s="39">
        <f t="shared" si="73"/>
        <v>454</v>
      </c>
    </row>
    <row r="1043" spans="1:3">
      <c r="A1043" s="335">
        <v>1036</v>
      </c>
      <c r="B1043" s="39">
        <f t="shared" si="72"/>
        <v>394</v>
      </c>
      <c r="C1043" s="39">
        <f t="shared" si="73"/>
        <v>454</v>
      </c>
    </row>
    <row r="1044" spans="1:3">
      <c r="A1044" s="335">
        <v>1037</v>
      </c>
      <c r="B1044" s="39">
        <f t="shared" si="72"/>
        <v>394</v>
      </c>
      <c r="C1044" s="39">
        <f t="shared" si="73"/>
        <v>454</v>
      </c>
    </row>
    <row r="1045" spans="1:3">
      <c r="A1045" s="335">
        <v>1038</v>
      </c>
      <c r="B1045" s="39">
        <f t="shared" si="72"/>
        <v>394</v>
      </c>
      <c r="C1045" s="39">
        <f t="shared" si="73"/>
        <v>454</v>
      </c>
    </row>
    <row r="1046" spans="1:3">
      <c r="A1046" s="335">
        <v>1039</v>
      </c>
      <c r="B1046" s="39">
        <f t="shared" si="72"/>
        <v>394</v>
      </c>
      <c r="C1046" s="39">
        <f t="shared" si="73"/>
        <v>454</v>
      </c>
    </row>
    <row r="1047" spans="1:3">
      <c r="A1047" s="335">
        <v>1040</v>
      </c>
      <c r="B1047" s="39">
        <f t="shared" si="72"/>
        <v>394</v>
      </c>
      <c r="C1047" s="39">
        <f t="shared" si="73"/>
        <v>454</v>
      </c>
    </row>
    <row r="1048" spans="1:3">
      <c r="A1048" s="335">
        <v>1041</v>
      </c>
      <c r="B1048" s="39">
        <f t="shared" si="72"/>
        <v>394</v>
      </c>
      <c r="C1048" s="39">
        <f t="shared" si="73"/>
        <v>454</v>
      </c>
    </row>
    <row r="1049" spans="1:3">
      <c r="A1049" s="335">
        <v>1042</v>
      </c>
      <c r="B1049" s="39">
        <f t="shared" si="72"/>
        <v>394</v>
      </c>
      <c r="C1049" s="39">
        <f t="shared" si="73"/>
        <v>454</v>
      </c>
    </row>
    <row r="1050" spans="1:3">
      <c r="A1050" s="335">
        <v>1043</v>
      </c>
      <c r="B1050" s="39">
        <f t="shared" si="72"/>
        <v>394</v>
      </c>
      <c r="C1050" s="39">
        <f t="shared" si="73"/>
        <v>454</v>
      </c>
    </row>
    <row r="1051" spans="1:3">
      <c r="A1051" s="335">
        <v>1044</v>
      </c>
      <c r="B1051" s="39">
        <f t="shared" si="72"/>
        <v>394</v>
      </c>
      <c r="C1051" s="39">
        <f t="shared" si="73"/>
        <v>454</v>
      </c>
    </row>
    <row r="1052" spans="1:3">
      <c r="A1052" s="335">
        <v>1045</v>
      </c>
      <c r="B1052" s="39">
        <f t="shared" si="72"/>
        <v>394</v>
      </c>
      <c r="C1052" s="39">
        <f t="shared" si="73"/>
        <v>454</v>
      </c>
    </row>
    <row r="1053" spans="1:3">
      <c r="A1053" s="335">
        <v>1046</v>
      </c>
      <c r="B1053" s="39">
        <f t="shared" si="72"/>
        <v>394</v>
      </c>
      <c r="C1053" s="39">
        <f t="shared" si="73"/>
        <v>454</v>
      </c>
    </row>
    <row r="1054" spans="1:3">
      <c r="A1054" s="335">
        <v>1047</v>
      </c>
      <c r="B1054" s="39">
        <f t="shared" si="72"/>
        <v>394</v>
      </c>
      <c r="C1054" s="39">
        <f t="shared" si="73"/>
        <v>454</v>
      </c>
    </row>
    <row r="1055" spans="1:3">
      <c r="A1055" s="335">
        <v>1048</v>
      </c>
      <c r="B1055" s="39">
        <f t="shared" si="72"/>
        <v>394</v>
      </c>
      <c r="C1055" s="39">
        <f t="shared" si="73"/>
        <v>454</v>
      </c>
    </row>
    <row r="1056" spans="1:3">
      <c r="A1056" s="335">
        <v>1049</v>
      </c>
      <c r="B1056" s="39">
        <f t="shared" si="72"/>
        <v>394</v>
      </c>
      <c r="C1056" s="39">
        <f t="shared" si="73"/>
        <v>454</v>
      </c>
    </row>
    <row r="1057" spans="1:3">
      <c r="A1057" s="335">
        <v>1050</v>
      </c>
      <c r="B1057" s="39">
        <f t="shared" si="72"/>
        <v>394</v>
      </c>
      <c r="C1057" s="39">
        <f t="shared" si="73"/>
        <v>454</v>
      </c>
    </row>
    <row r="1058" spans="1:3">
      <c r="A1058" s="335">
        <v>1051</v>
      </c>
      <c r="B1058" s="39">
        <f t="shared" si="72"/>
        <v>394</v>
      </c>
      <c r="C1058" s="39">
        <f t="shared" si="73"/>
        <v>454</v>
      </c>
    </row>
    <row r="1059" spans="1:3">
      <c r="A1059" s="335">
        <v>1052</v>
      </c>
      <c r="B1059" s="39">
        <f t="shared" si="72"/>
        <v>394</v>
      </c>
      <c r="C1059" s="39">
        <f t="shared" si="73"/>
        <v>454</v>
      </c>
    </row>
    <row r="1060" spans="1:3">
      <c r="A1060" s="335">
        <v>1053</v>
      </c>
      <c r="B1060" s="39">
        <f t="shared" si="72"/>
        <v>394</v>
      </c>
      <c r="C1060" s="39">
        <f t="shared" si="73"/>
        <v>454</v>
      </c>
    </row>
    <row r="1061" spans="1:3">
      <c r="A1061" s="335">
        <v>1054</v>
      </c>
      <c r="B1061" s="39">
        <f t="shared" si="72"/>
        <v>394</v>
      </c>
      <c r="C1061" s="39">
        <f t="shared" si="73"/>
        <v>454</v>
      </c>
    </row>
    <row r="1062" spans="1:3">
      <c r="A1062" s="335">
        <v>1055</v>
      </c>
      <c r="B1062" s="39">
        <f t="shared" si="72"/>
        <v>394</v>
      </c>
      <c r="C1062" s="39">
        <f t="shared" si="73"/>
        <v>454</v>
      </c>
    </row>
    <row r="1063" spans="1:3">
      <c r="A1063" s="335">
        <v>1056</v>
      </c>
      <c r="B1063" s="39">
        <f t="shared" si="72"/>
        <v>394</v>
      </c>
      <c r="C1063" s="39">
        <f t="shared" si="73"/>
        <v>454</v>
      </c>
    </row>
    <row r="1064" spans="1:3">
      <c r="A1064" s="335">
        <v>1057</v>
      </c>
      <c r="B1064" s="39">
        <f t="shared" si="72"/>
        <v>394</v>
      </c>
      <c r="C1064" s="39">
        <f t="shared" si="73"/>
        <v>454</v>
      </c>
    </row>
    <row r="1065" spans="1:3">
      <c r="A1065" s="335">
        <v>1058</v>
      </c>
      <c r="B1065" s="39">
        <f t="shared" si="72"/>
        <v>394</v>
      </c>
      <c r="C1065" s="39">
        <f t="shared" si="73"/>
        <v>454</v>
      </c>
    </row>
    <row r="1066" spans="1:3">
      <c r="A1066" s="335">
        <v>1059</v>
      </c>
      <c r="B1066" s="39">
        <f t="shared" si="72"/>
        <v>394</v>
      </c>
      <c r="C1066" s="39">
        <f t="shared" si="73"/>
        <v>454</v>
      </c>
    </row>
    <row r="1067" spans="1:3">
      <c r="A1067" s="335">
        <v>1060</v>
      </c>
      <c r="B1067" s="39">
        <f t="shared" si="72"/>
        <v>394</v>
      </c>
      <c r="C1067" s="39">
        <f t="shared" si="73"/>
        <v>454</v>
      </c>
    </row>
    <row r="1068" spans="1:3">
      <c r="A1068" s="335">
        <v>1061</v>
      </c>
      <c r="B1068" s="39">
        <f t="shared" si="72"/>
        <v>394</v>
      </c>
      <c r="C1068" s="39">
        <f t="shared" si="73"/>
        <v>454</v>
      </c>
    </row>
    <row r="1069" spans="1:3">
      <c r="A1069" s="335">
        <v>1062</v>
      </c>
      <c r="B1069" s="39">
        <f t="shared" si="72"/>
        <v>394</v>
      </c>
      <c r="C1069" s="39">
        <f t="shared" si="73"/>
        <v>454</v>
      </c>
    </row>
    <row r="1070" spans="1:3">
      <c r="A1070" s="335">
        <v>1063</v>
      </c>
      <c r="B1070" s="39">
        <f t="shared" si="72"/>
        <v>394</v>
      </c>
      <c r="C1070" s="39">
        <f t="shared" si="73"/>
        <v>454</v>
      </c>
    </row>
    <row r="1071" spans="1:3">
      <c r="A1071" s="335">
        <v>1064</v>
      </c>
      <c r="B1071" s="39">
        <f t="shared" ref="B1071:B1134" si="74">IF(B1070=F1071,A1071,B1070)</f>
        <v>394</v>
      </c>
      <c r="C1071" s="39">
        <f t="shared" ref="C1071:C1134" si="75" xml:space="preserve"> IF(C1070=F1071,A1071,C1070)</f>
        <v>454</v>
      </c>
    </row>
    <row r="1072" spans="1:3">
      <c r="A1072" s="335">
        <v>1065</v>
      </c>
      <c r="B1072" s="39">
        <f t="shared" si="74"/>
        <v>394</v>
      </c>
      <c r="C1072" s="39">
        <f t="shared" si="75"/>
        <v>454</v>
      </c>
    </row>
    <row r="1073" spans="1:3">
      <c r="A1073" s="335">
        <v>1066</v>
      </c>
      <c r="B1073" s="39">
        <f t="shared" si="74"/>
        <v>394</v>
      </c>
      <c r="C1073" s="39">
        <f t="shared" si="75"/>
        <v>454</v>
      </c>
    </row>
    <row r="1074" spans="1:3">
      <c r="A1074" s="335">
        <v>1067</v>
      </c>
      <c r="B1074" s="39">
        <f t="shared" si="74"/>
        <v>394</v>
      </c>
      <c r="C1074" s="39">
        <f t="shared" si="75"/>
        <v>454</v>
      </c>
    </row>
    <row r="1075" spans="1:3">
      <c r="A1075" s="335">
        <v>1068</v>
      </c>
      <c r="B1075" s="39">
        <f t="shared" si="74"/>
        <v>394</v>
      </c>
      <c r="C1075" s="39">
        <f t="shared" si="75"/>
        <v>454</v>
      </c>
    </row>
    <row r="1076" spans="1:3">
      <c r="A1076" s="335">
        <v>1069</v>
      </c>
      <c r="B1076" s="39">
        <f t="shared" si="74"/>
        <v>394</v>
      </c>
      <c r="C1076" s="39">
        <f t="shared" si="75"/>
        <v>454</v>
      </c>
    </row>
    <row r="1077" spans="1:3">
      <c r="A1077" s="335">
        <v>1070</v>
      </c>
      <c r="B1077" s="39">
        <f t="shared" si="74"/>
        <v>394</v>
      </c>
      <c r="C1077" s="39">
        <f t="shared" si="75"/>
        <v>454</v>
      </c>
    </row>
    <row r="1078" spans="1:3">
      <c r="A1078" s="335">
        <v>1071</v>
      </c>
      <c r="B1078" s="39">
        <f t="shared" si="74"/>
        <v>394</v>
      </c>
      <c r="C1078" s="39">
        <f t="shared" si="75"/>
        <v>454</v>
      </c>
    </row>
    <row r="1079" spans="1:3">
      <c r="A1079" s="335">
        <v>1072</v>
      </c>
      <c r="B1079" s="39">
        <f t="shared" si="74"/>
        <v>394</v>
      </c>
      <c r="C1079" s="39">
        <f t="shared" si="75"/>
        <v>454</v>
      </c>
    </row>
    <row r="1080" spans="1:3">
      <c r="A1080" s="335">
        <v>1073</v>
      </c>
      <c r="B1080" s="39">
        <f t="shared" si="74"/>
        <v>394</v>
      </c>
      <c r="C1080" s="39">
        <f t="shared" si="75"/>
        <v>454</v>
      </c>
    </row>
    <row r="1081" spans="1:3">
      <c r="A1081" s="335">
        <v>1074</v>
      </c>
      <c r="B1081" s="39">
        <f t="shared" si="74"/>
        <v>394</v>
      </c>
      <c r="C1081" s="39">
        <f t="shared" si="75"/>
        <v>454</v>
      </c>
    </row>
    <row r="1082" spans="1:3">
      <c r="A1082" s="335">
        <v>1075</v>
      </c>
      <c r="B1082" s="39">
        <f t="shared" si="74"/>
        <v>394</v>
      </c>
      <c r="C1082" s="39">
        <f t="shared" si="75"/>
        <v>454</v>
      </c>
    </row>
    <row r="1083" spans="1:3">
      <c r="A1083" s="335">
        <v>1076</v>
      </c>
      <c r="B1083" s="39">
        <f t="shared" si="74"/>
        <v>394</v>
      </c>
      <c r="C1083" s="39">
        <f t="shared" si="75"/>
        <v>454</v>
      </c>
    </row>
    <row r="1084" spans="1:3">
      <c r="A1084" s="335">
        <v>1077</v>
      </c>
      <c r="B1084" s="39">
        <f t="shared" si="74"/>
        <v>394</v>
      </c>
      <c r="C1084" s="39">
        <f t="shared" si="75"/>
        <v>454</v>
      </c>
    </row>
    <row r="1085" spans="1:3">
      <c r="A1085" s="335">
        <v>1078</v>
      </c>
      <c r="B1085" s="39">
        <f t="shared" si="74"/>
        <v>394</v>
      </c>
      <c r="C1085" s="39">
        <f t="shared" si="75"/>
        <v>454</v>
      </c>
    </row>
    <row r="1086" spans="1:3">
      <c r="A1086" s="335">
        <v>1079</v>
      </c>
      <c r="B1086" s="39">
        <f t="shared" si="74"/>
        <v>394</v>
      </c>
      <c r="C1086" s="39">
        <f t="shared" si="75"/>
        <v>454</v>
      </c>
    </row>
    <row r="1087" spans="1:3">
      <c r="A1087" s="335">
        <v>1080</v>
      </c>
      <c r="B1087" s="39">
        <f t="shared" si="74"/>
        <v>394</v>
      </c>
      <c r="C1087" s="39">
        <f t="shared" si="75"/>
        <v>454</v>
      </c>
    </row>
    <row r="1088" spans="1:3">
      <c r="A1088" s="335">
        <v>1081</v>
      </c>
      <c r="B1088" s="39">
        <f t="shared" si="74"/>
        <v>394</v>
      </c>
      <c r="C1088" s="39">
        <f t="shared" si="75"/>
        <v>454</v>
      </c>
    </row>
    <row r="1089" spans="1:3">
      <c r="A1089" s="335">
        <v>1082</v>
      </c>
      <c r="B1089" s="39">
        <f t="shared" si="74"/>
        <v>394</v>
      </c>
      <c r="C1089" s="39">
        <f t="shared" si="75"/>
        <v>454</v>
      </c>
    </row>
    <row r="1090" spans="1:3">
      <c r="A1090" s="335">
        <v>1083</v>
      </c>
      <c r="B1090" s="39">
        <f t="shared" si="74"/>
        <v>394</v>
      </c>
      <c r="C1090" s="39">
        <f t="shared" si="75"/>
        <v>454</v>
      </c>
    </row>
    <row r="1091" spans="1:3">
      <c r="A1091" s="335">
        <v>1084</v>
      </c>
      <c r="B1091" s="39">
        <f t="shared" si="74"/>
        <v>394</v>
      </c>
      <c r="C1091" s="39">
        <f t="shared" si="75"/>
        <v>454</v>
      </c>
    </row>
    <row r="1092" spans="1:3">
      <c r="A1092" s="335">
        <v>1085</v>
      </c>
      <c r="B1092" s="39">
        <f t="shared" si="74"/>
        <v>394</v>
      </c>
      <c r="C1092" s="39">
        <f t="shared" si="75"/>
        <v>454</v>
      </c>
    </row>
    <row r="1093" spans="1:3">
      <c r="A1093" s="335">
        <v>1086</v>
      </c>
      <c r="B1093" s="39">
        <f t="shared" si="74"/>
        <v>394</v>
      </c>
      <c r="C1093" s="39">
        <f t="shared" si="75"/>
        <v>454</v>
      </c>
    </row>
    <row r="1094" spans="1:3">
      <c r="A1094" s="335">
        <v>1087</v>
      </c>
      <c r="B1094" s="39">
        <f t="shared" si="74"/>
        <v>394</v>
      </c>
      <c r="C1094" s="39">
        <f t="shared" si="75"/>
        <v>454</v>
      </c>
    </row>
    <row r="1095" spans="1:3">
      <c r="A1095" s="335">
        <v>1088</v>
      </c>
      <c r="B1095" s="39">
        <f t="shared" si="74"/>
        <v>394</v>
      </c>
      <c r="C1095" s="39">
        <f t="shared" si="75"/>
        <v>454</v>
      </c>
    </row>
    <row r="1096" spans="1:3">
      <c r="A1096" s="335">
        <v>1089</v>
      </c>
      <c r="B1096" s="39">
        <f t="shared" si="74"/>
        <v>394</v>
      </c>
      <c r="C1096" s="39">
        <f t="shared" si="75"/>
        <v>454</v>
      </c>
    </row>
    <row r="1097" spans="1:3">
      <c r="A1097" s="335">
        <v>1090</v>
      </c>
      <c r="B1097" s="39">
        <f t="shared" si="74"/>
        <v>394</v>
      </c>
      <c r="C1097" s="39">
        <f t="shared" si="75"/>
        <v>454</v>
      </c>
    </row>
    <row r="1098" spans="1:3">
      <c r="A1098" s="335">
        <v>1091</v>
      </c>
      <c r="B1098" s="39">
        <f t="shared" si="74"/>
        <v>394</v>
      </c>
      <c r="C1098" s="39">
        <f t="shared" si="75"/>
        <v>454</v>
      </c>
    </row>
    <row r="1099" spans="1:3">
      <c r="A1099" s="335">
        <v>1092</v>
      </c>
      <c r="B1099" s="39">
        <f t="shared" si="74"/>
        <v>394</v>
      </c>
      <c r="C1099" s="39">
        <f t="shared" si="75"/>
        <v>454</v>
      </c>
    </row>
    <row r="1100" spans="1:3">
      <c r="A1100" s="335">
        <v>1093</v>
      </c>
      <c r="B1100" s="39">
        <f t="shared" si="74"/>
        <v>394</v>
      </c>
      <c r="C1100" s="39">
        <f t="shared" si="75"/>
        <v>454</v>
      </c>
    </row>
    <row r="1101" spans="1:3">
      <c r="A1101" s="335">
        <v>1094</v>
      </c>
      <c r="B1101" s="39">
        <f t="shared" si="74"/>
        <v>394</v>
      </c>
      <c r="C1101" s="39">
        <f t="shared" si="75"/>
        <v>454</v>
      </c>
    </row>
    <row r="1102" spans="1:3">
      <c r="A1102" s="335">
        <v>1095</v>
      </c>
      <c r="B1102" s="39">
        <f t="shared" si="74"/>
        <v>394</v>
      </c>
      <c r="C1102" s="39">
        <f t="shared" si="75"/>
        <v>454</v>
      </c>
    </row>
    <row r="1103" spans="1:3">
      <c r="A1103" s="335">
        <v>1096</v>
      </c>
      <c r="B1103" s="39">
        <f t="shared" si="74"/>
        <v>394</v>
      </c>
      <c r="C1103" s="39">
        <f t="shared" si="75"/>
        <v>454</v>
      </c>
    </row>
    <row r="1104" spans="1:3">
      <c r="A1104" s="335">
        <v>1097</v>
      </c>
      <c r="B1104" s="39">
        <f t="shared" si="74"/>
        <v>394</v>
      </c>
      <c r="C1104" s="39">
        <f t="shared" si="75"/>
        <v>454</v>
      </c>
    </row>
    <row r="1105" spans="1:3">
      <c r="A1105" s="335">
        <v>1098</v>
      </c>
      <c r="B1105" s="39">
        <f t="shared" si="74"/>
        <v>394</v>
      </c>
      <c r="C1105" s="39">
        <f t="shared" si="75"/>
        <v>454</v>
      </c>
    </row>
    <row r="1106" spans="1:3">
      <c r="A1106" s="335">
        <v>1099</v>
      </c>
      <c r="B1106" s="39">
        <f t="shared" si="74"/>
        <v>394</v>
      </c>
      <c r="C1106" s="39">
        <f t="shared" si="75"/>
        <v>454</v>
      </c>
    </row>
    <row r="1107" spans="1:3">
      <c r="A1107" s="335">
        <v>1100</v>
      </c>
      <c r="B1107" s="39">
        <f t="shared" si="74"/>
        <v>394</v>
      </c>
      <c r="C1107" s="39">
        <f t="shared" si="75"/>
        <v>454</v>
      </c>
    </row>
    <row r="1108" spans="1:3">
      <c r="A1108" s="335">
        <v>1101</v>
      </c>
      <c r="B1108" s="39">
        <f t="shared" si="74"/>
        <v>394</v>
      </c>
      <c r="C1108" s="39">
        <f t="shared" si="75"/>
        <v>454</v>
      </c>
    </row>
    <row r="1109" spans="1:3">
      <c r="A1109" s="335">
        <v>1102</v>
      </c>
      <c r="B1109" s="39">
        <f t="shared" si="74"/>
        <v>394</v>
      </c>
      <c r="C1109" s="39">
        <f t="shared" si="75"/>
        <v>454</v>
      </c>
    </row>
    <row r="1110" spans="1:3">
      <c r="A1110" s="335">
        <v>1103</v>
      </c>
      <c r="B1110" s="39">
        <f t="shared" si="74"/>
        <v>394</v>
      </c>
      <c r="C1110" s="39">
        <f t="shared" si="75"/>
        <v>454</v>
      </c>
    </row>
    <row r="1111" spans="1:3">
      <c r="A1111" s="335">
        <v>1104</v>
      </c>
      <c r="B1111" s="39">
        <f t="shared" si="74"/>
        <v>394</v>
      </c>
      <c r="C1111" s="39">
        <f t="shared" si="75"/>
        <v>454</v>
      </c>
    </row>
    <row r="1112" spans="1:3">
      <c r="A1112" s="335">
        <v>1105</v>
      </c>
      <c r="B1112" s="39">
        <f t="shared" si="74"/>
        <v>394</v>
      </c>
      <c r="C1112" s="39">
        <f t="shared" si="75"/>
        <v>454</v>
      </c>
    </row>
    <row r="1113" spans="1:3">
      <c r="A1113" s="335">
        <v>1106</v>
      </c>
      <c r="B1113" s="39">
        <f t="shared" si="74"/>
        <v>394</v>
      </c>
      <c r="C1113" s="39">
        <f t="shared" si="75"/>
        <v>454</v>
      </c>
    </row>
    <row r="1114" spans="1:3">
      <c r="A1114" s="335">
        <v>1107</v>
      </c>
      <c r="B1114" s="39">
        <f t="shared" si="74"/>
        <v>394</v>
      </c>
      <c r="C1114" s="39">
        <f t="shared" si="75"/>
        <v>454</v>
      </c>
    </row>
    <row r="1115" spans="1:3">
      <c r="A1115" s="335">
        <v>1108</v>
      </c>
      <c r="B1115" s="39">
        <f t="shared" si="74"/>
        <v>394</v>
      </c>
      <c r="C1115" s="39">
        <f t="shared" si="75"/>
        <v>454</v>
      </c>
    </row>
    <row r="1116" spans="1:3">
      <c r="A1116" s="335">
        <v>1109</v>
      </c>
      <c r="B1116" s="39">
        <f t="shared" si="74"/>
        <v>394</v>
      </c>
      <c r="C1116" s="39">
        <f t="shared" si="75"/>
        <v>454</v>
      </c>
    </row>
    <row r="1117" spans="1:3">
      <c r="A1117" s="335">
        <v>1110</v>
      </c>
      <c r="B1117" s="39">
        <f t="shared" si="74"/>
        <v>394</v>
      </c>
      <c r="C1117" s="39">
        <f t="shared" si="75"/>
        <v>454</v>
      </c>
    </row>
    <row r="1118" spans="1:3">
      <c r="A1118" s="335">
        <v>1111</v>
      </c>
      <c r="B1118" s="39">
        <f t="shared" si="74"/>
        <v>394</v>
      </c>
      <c r="C1118" s="39">
        <f t="shared" si="75"/>
        <v>454</v>
      </c>
    </row>
    <row r="1119" spans="1:3">
      <c r="A1119" s="335">
        <v>1112</v>
      </c>
      <c r="B1119" s="39">
        <f t="shared" si="74"/>
        <v>394</v>
      </c>
      <c r="C1119" s="39">
        <f t="shared" si="75"/>
        <v>454</v>
      </c>
    </row>
    <row r="1120" spans="1:3">
      <c r="A1120" s="335">
        <v>1113</v>
      </c>
      <c r="B1120" s="39">
        <f t="shared" si="74"/>
        <v>394</v>
      </c>
      <c r="C1120" s="39">
        <f t="shared" si="75"/>
        <v>454</v>
      </c>
    </row>
    <row r="1121" spans="1:3">
      <c r="A1121" s="335">
        <v>1114</v>
      </c>
      <c r="B1121" s="39">
        <f t="shared" si="74"/>
        <v>394</v>
      </c>
      <c r="C1121" s="39">
        <f t="shared" si="75"/>
        <v>454</v>
      </c>
    </row>
    <row r="1122" spans="1:3">
      <c r="A1122" s="335">
        <v>1115</v>
      </c>
      <c r="B1122" s="39">
        <f t="shared" si="74"/>
        <v>394</v>
      </c>
      <c r="C1122" s="39">
        <f t="shared" si="75"/>
        <v>454</v>
      </c>
    </row>
    <row r="1123" spans="1:3">
      <c r="A1123" s="335">
        <v>1116</v>
      </c>
      <c r="B1123" s="39">
        <f t="shared" si="74"/>
        <v>394</v>
      </c>
      <c r="C1123" s="39">
        <f t="shared" si="75"/>
        <v>454</v>
      </c>
    </row>
    <row r="1124" spans="1:3">
      <c r="A1124" s="335">
        <v>1117</v>
      </c>
      <c r="B1124" s="39">
        <f t="shared" si="74"/>
        <v>394</v>
      </c>
      <c r="C1124" s="39">
        <f t="shared" si="75"/>
        <v>454</v>
      </c>
    </row>
    <row r="1125" spans="1:3">
      <c r="A1125" s="335">
        <v>1118</v>
      </c>
      <c r="B1125" s="39">
        <f t="shared" si="74"/>
        <v>394</v>
      </c>
      <c r="C1125" s="39">
        <f t="shared" si="75"/>
        <v>454</v>
      </c>
    </row>
    <row r="1126" spans="1:3">
      <c r="A1126" s="335">
        <v>1119</v>
      </c>
      <c r="B1126" s="39">
        <f t="shared" si="74"/>
        <v>394</v>
      </c>
      <c r="C1126" s="39">
        <f t="shared" si="75"/>
        <v>454</v>
      </c>
    </row>
    <row r="1127" spans="1:3">
      <c r="A1127" s="335">
        <v>1120</v>
      </c>
      <c r="B1127" s="39">
        <f t="shared" si="74"/>
        <v>394</v>
      </c>
      <c r="C1127" s="39">
        <f t="shared" si="75"/>
        <v>454</v>
      </c>
    </row>
    <row r="1128" spans="1:3">
      <c r="A1128" s="335">
        <v>1121</v>
      </c>
      <c r="B1128" s="39">
        <f t="shared" si="74"/>
        <v>394</v>
      </c>
      <c r="C1128" s="39">
        <f t="shared" si="75"/>
        <v>454</v>
      </c>
    </row>
    <row r="1129" spans="1:3">
      <c r="A1129" s="335">
        <v>1122</v>
      </c>
      <c r="B1129" s="39">
        <f t="shared" si="74"/>
        <v>394</v>
      </c>
      <c r="C1129" s="39">
        <f t="shared" si="75"/>
        <v>454</v>
      </c>
    </row>
    <row r="1130" spans="1:3">
      <c r="A1130" s="335">
        <v>1123</v>
      </c>
      <c r="B1130" s="39">
        <f t="shared" si="74"/>
        <v>394</v>
      </c>
      <c r="C1130" s="39">
        <f t="shared" si="75"/>
        <v>454</v>
      </c>
    </row>
    <row r="1131" spans="1:3">
      <c r="A1131" s="335">
        <v>1124</v>
      </c>
      <c r="B1131" s="39">
        <f t="shared" si="74"/>
        <v>394</v>
      </c>
      <c r="C1131" s="39">
        <f t="shared" si="75"/>
        <v>454</v>
      </c>
    </row>
    <row r="1132" spans="1:3">
      <c r="A1132" s="335">
        <v>1125</v>
      </c>
      <c r="B1132" s="39">
        <f t="shared" si="74"/>
        <v>394</v>
      </c>
      <c r="C1132" s="39">
        <f t="shared" si="75"/>
        <v>454</v>
      </c>
    </row>
    <row r="1133" spans="1:3">
      <c r="A1133" s="335">
        <v>1126</v>
      </c>
      <c r="B1133" s="39">
        <f t="shared" si="74"/>
        <v>394</v>
      </c>
      <c r="C1133" s="39">
        <f t="shared" si="75"/>
        <v>454</v>
      </c>
    </row>
    <row r="1134" spans="1:3">
      <c r="A1134" s="335">
        <v>1127</v>
      </c>
      <c r="B1134" s="39">
        <f t="shared" si="74"/>
        <v>394</v>
      </c>
      <c r="C1134" s="39">
        <f t="shared" si="75"/>
        <v>454</v>
      </c>
    </row>
    <row r="1135" spans="1:3">
      <c r="A1135" s="335">
        <v>1128</v>
      </c>
      <c r="B1135" s="39">
        <f t="shared" ref="B1135:B1198" si="76">IF(B1134=F1135,A1135,B1134)</f>
        <v>394</v>
      </c>
      <c r="C1135" s="39">
        <f t="shared" ref="C1135:C1198" si="77" xml:space="preserve"> IF(C1134=F1135,A1135,C1134)</f>
        <v>454</v>
      </c>
    </row>
    <row r="1136" spans="1:3">
      <c r="A1136" s="335">
        <v>1129</v>
      </c>
      <c r="B1136" s="39">
        <f t="shared" si="76"/>
        <v>394</v>
      </c>
      <c r="C1136" s="39">
        <f t="shared" si="77"/>
        <v>454</v>
      </c>
    </row>
    <row r="1137" spans="1:3">
      <c r="A1137" s="335">
        <v>1130</v>
      </c>
      <c r="B1137" s="39">
        <f t="shared" si="76"/>
        <v>394</v>
      </c>
      <c r="C1137" s="39">
        <f t="shared" si="77"/>
        <v>454</v>
      </c>
    </row>
    <row r="1138" spans="1:3">
      <c r="A1138" s="335">
        <v>1131</v>
      </c>
      <c r="B1138" s="39">
        <f t="shared" si="76"/>
        <v>394</v>
      </c>
      <c r="C1138" s="39">
        <f t="shared" si="77"/>
        <v>454</v>
      </c>
    </row>
    <row r="1139" spans="1:3">
      <c r="A1139" s="335">
        <v>1132</v>
      </c>
      <c r="B1139" s="39">
        <f t="shared" si="76"/>
        <v>394</v>
      </c>
      <c r="C1139" s="39">
        <f t="shared" si="77"/>
        <v>454</v>
      </c>
    </row>
    <row r="1140" spans="1:3">
      <c r="A1140" s="335">
        <v>1133</v>
      </c>
      <c r="B1140" s="39">
        <f t="shared" si="76"/>
        <v>394</v>
      </c>
      <c r="C1140" s="39">
        <f t="shared" si="77"/>
        <v>454</v>
      </c>
    </row>
    <row r="1141" spans="1:3">
      <c r="A1141" s="335">
        <v>1134</v>
      </c>
      <c r="B1141" s="39">
        <f t="shared" si="76"/>
        <v>394</v>
      </c>
      <c r="C1141" s="39">
        <f t="shared" si="77"/>
        <v>454</v>
      </c>
    </row>
    <row r="1142" spans="1:3">
      <c r="A1142" s="335">
        <v>1135</v>
      </c>
      <c r="B1142" s="39">
        <f t="shared" si="76"/>
        <v>394</v>
      </c>
      <c r="C1142" s="39">
        <f t="shared" si="77"/>
        <v>454</v>
      </c>
    </row>
    <row r="1143" spans="1:3">
      <c r="A1143" s="335">
        <v>1136</v>
      </c>
      <c r="B1143" s="39">
        <f t="shared" si="76"/>
        <v>394</v>
      </c>
      <c r="C1143" s="39">
        <f t="shared" si="77"/>
        <v>454</v>
      </c>
    </row>
    <row r="1144" spans="1:3">
      <c r="A1144" s="335">
        <v>1137</v>
      </c>
      <c r="B1144" s="39">
        <f t="shared" si="76"/>
        <v>394</v>
      </c>
      <c r="C1144" s="39">
        <f t="shared" si="77"/>
        <v>454</v>
      </c>
    </row>
    <row r="1145" spans="1:3">
      <c r="A1145" s="335">
        <v>1138</v>
      </c>
      <c r="B1145" s="39">
        <f t="shared" si="76"/>
        <v>394</v>
      </c>
      <c r="C1145" s="39">
        <f t="shared" si="77"/>
        <v>454</v>
      </c>
    </row>
    <row r="1146" spans="1:3">
      <c r="A1146" s="335">
        <v>1139</v>
      </c>
      <c r="B1146" s="39">
        <f t="shared" si="76"/>
        <v>394</v>
      </c>
      <c r="C1146" s="39">
        <f t="shared" si="77"/>
        <v>454</v>
      </c>
    </row>
    <row r="1147" spans="1:3">
      <c r="A1147" s="335">
        <v>1140</v>
      </c>
      <c r="B1147" s="39">
        <f t="shared" si="76"/>
        <v>394</v>
      </c>
      <c r="C1147" s="39">
        <f t="shared" si="77"/>
        <v>454</v>
      </c>
    </row>
    <row r="1148" spans="1:3">
      <c r="A1148" s="335">
        <v>1141</v>
      </c>
      <c r="B1148" s="39">
        <f t="shared" si="76"/>
        <v>394</v>
      </c>
      <c r="C1148" s="39">
        <f t="shared" si="77"/>
        <v>454</v>
      </c>
    </row>
    <row r="1149" spans="1:3">
      <c r="A1149" s="335">
        <v>1142</v>
      </c>
      <c r="B1149" s="39">
        <f t="shared" si="76"/>
        <v>394</v>
      </c>
      <c r="C1149" s="39">
        <f t="shared" si="77"/>
        <v>454</v>
      </c>
    </row>
    <row r="1150" spans="1:3">
      <c r="A1150" s="335">
        <v>1143</v>
      </c>
      <c r="B1150" s="39">
        <f t="shared" si="76"/>
        <v>394</v>
      </c>
      <c r="C1150" s="39">
        <f t="shared" si="77"/>
        <v>454</v>
      </c>
    </row>
    <row r="1151" spans="1:3">
      <c r="A1151" s="335">
        <v>1144</v>
      </c>
      <c r="B1151" s="39">
        <f t="shared" si="76"/>
        <v>394</v>
      </c>
      <c r="C1151" s="39">
        <f t="shared" si="77"/>
        <v>454</v>
      </c>
    </row>
    <row r="1152" spans="1:3">
      <c r="A1152" s="335">
        <v>1145</v>
      </c>
      <c r="B1152" s="39">
        <f t="shared" si="76"/>
        <v>394</v>
      </c>
      <c r="C1152" s="39">
        <f t="shared" si="77"/>
        <v>454</v>
      </c>
    </row>
    <row r="1153" spans="1:3">
      <c r="A1153" s="335">
        <v>1146</v>
      </c>
      <c r="B1153" s="39">
        <f t="shared" si="76"/>
        <v>394</v>
      </c>
      <c r="C1153" s="39">
        <f t="shared" si="77"/>
        <v>454</v>
      </c>
    </row>
    <row r="1154" spans="1:3">
      <c r="A1154" s="335">
        <v>1147</v>
      </c>
      <c r="B1154" s="39">
        <f t="shared" si="76"/>
        <v>394</v>
      </c>
      <c r="C1154" s="39">
        <f t="shared" si="77"/>
        <v>454</v>
      </c>
    </row>
    <row r="1155" spans="1:3">
      <c r="A1155" s="335">
        <v>1148</v>
      </c>
      <c r="B1155" s="39">
        <f t="shared" si="76"/>
        <v>394</v>
      </c>
      <c r="C1155" s="39">
        <f t="shared" si="77"/>
        <v>454</v>
      </c>
    </row>
    <row r="1156" spans="1:3">
      <c r="A1156" s="335">
        <v>1149</v>
      </c>
      <c r="B1156" s="39">
        <f t="shared" si="76"/>
        <v>394</v>
      </c>
      <c r="C1156" s="39">
        <f t="shared" si="77"/>
        <v>454</v>
      </c>
    </row>
    <row r="1157" spans="1:3">
      <c r="A1157" s="335">
        <v>1150</v>
      </c>
      <c r="B1157" s="39">
        <f t="shared" si="76"/>
        <v>394</v>
      </c>
      <c r="C1157" s="39">
        <f t="shared" si="77"/>
        <v>454</v>
      </c>
    </row>
    <row r="1158" spans="1:3">
      <c r="A1158" s="335">
        <v>1151</v>
      </c>
      <c r="B1158" s="39">
        <f t="shared" si="76"/>
        <v>394</v>
      </c>
      <c r="C1158" s="39">
        <f t="shared" si="77"/>
        <v>454</v>
      </c>
    </row>
    <row r="1159" spans="1:3">
      <c r="A1159" s="335">
        <v>1152</v>
      </c>
      <c r="B1159" s="39">
        <f t="shared" si="76"/>
        <v>394</v>
      </c>
      <c r="C1159" s="39">
        <f t="shared" si="77"/>
        <v>454</v>
      </c>
    </row>
    <row r="1160" spans="1:3">
      <c r="A1160" s="335">
        <v>1153</v>
      </c>
      <c r="B1160" s="39">
        <f t="shared" si="76"/>
        <v>394</v>
      </c>
      <c r="C1160" s="39">
        <f t="shared" si="77"/>
        <v>454</v>
      </c>
    </row>
    <row r="1161" spans="1:3">
      <c r="A1161" s="335">
        <v>1154</v>
      </c>
      <c r="B1161" s="39">
        <f t="shared" si="76"/>
        <v>394</v>
      </c>
      <c r="C1161" s="39">
        <f t="shared" si="77"/>
        <v>454</v>
      </c>
    </row>
    <row r="1162" spans="1:3">
      <c r="A1162" s="335">
        <v>1155</v>
      </c>
      <c r="B1162" s="39">
        <f t="shared" si="76"/>
        <v>394</v>
      </c>
      <c r="C1162" s="39">
        <f t="shared" si="77"/>
        <v>454</v>
      </c>
    </row>
    <row r="1163" spans="1:3">
      <c r="A1163" s="335">
        <v>1156</v>
      </c>
      <c r="B1163" s="39">
        <f t="shared" si="76"/>
        <v>394</v>
      </c>
      <c r="C1163" s="39">
        <f t="shared" si="77"/>
        <v>454</v>
      </c>
    </row>
    <row r="1164" spans="1:3">
      <c r="A1164" s="335">
        <v>1157</v>
      </c>
      <c r="B1164" s="39">
        <f t="shared" si="76"/>
        <v>394</v>
      </c>
      <c r="C1164" s="39">
        <f t="shared" si="77"/>
        <v>454</v>
      </c>
    </row>
    <row r="1165" spans="1:3">
      <c r="A1165" s="335">
        <v>1158</v>
      </c>
      <c r="B1165" s="39">
        <f t="shared" si="76"/>
        <v>394</v>
      </c>
      <c r="C1165" s="39">
        <f t="shared" si="77"/>
        <v>454</v>
      </c>
    </row>
    <row r="1166" spans="1:3">
      <c r="A1166" s="335">
        <v>1159</v>
      </c>
      <c r="B1166" s="39">
        <f t="shared" si="76"/>
        <v>394</v>
      </c>
      <c r="C1166" s="39">
        <f t="shared" si="77"/>
        <v>454</v>
      </c>
    </row>
    <row r="1167" spans="1:3">
      <c r="A1167" s="335">
        <v>1160</v>
      </c>
      <c r="B1167" s="39">
        <f t="shared" si="76"/>
        <v>394</v>
      </c>
      <c r="C1167" s="39">
        <f t="shared" si="77"/>
        <v>454</v>
      </c>
    </row>
    <row r="1168" spans="1:3">
      <c r="A1168" s="335">
        <v>1161</v>
      </c>
      <c r="B1168" s="39">
        <f t="shared" si="76"/>
        <v>394</v>
      </c>
      <c r="C1168" s="39">
        <f t="shared" si="77"/>
        <v>454</v>
      </c>
    </row>
    <row r="1169" spans="1:3">
      <c r="A1169" s="335">
        <v>1162</v>
      </c>
      <c r="B1169" s="39">
        <f t="shared" si="76"/>
        <v>394</v>
      </c>
      <c r="C1169" s="39">
        <f t="shared" si="77"/>
        <v>454</v>
      </c>
    </row>
    <row r="1170" spans="1:3">
      <c r="A1170" s="335">
        <v>1163</v>
      </c>
      <c r="B1170" s="39">
        <f t="shared" si="76"/>
        <v>394</v>
      </c>
      <c r="C1170" s="39">
        <f t="shared" si="77"/>
        <v>454</v>
      </c>
    </row>
    <row r="1171" spans="1:3">
      <c r="A1171" s="335">
        <v>1164</v>
      </c>
      <c r="B1171" s="39">
        <f t="shared" si="76"/>
        <v>394</v>
      </c>
      <c r="C1171" s="39">
        <f t="shared" si="77"/>
        <v>454</v>
      </c>
    </row>
    <row r="1172" spans="1:3">
      <c r="A1172" s="335">
        <v>1165</v>
      </c>
      <c r="B1172" s="39">
        <f t="shared" si="76"/>
        <v>394</v>
      </c>
      <c r="C1172" s="39">
        <f t="shared" si="77"/>
        <v>454</v>
      </c>
    </row>
    <row r="1173" spans="1:3">
      <c r="A1173" s="335">
        <v>1166</v>
      </c>
      <c r="B1173" s="39">
        <f t="shared" si="76"/>
        <v>394</v>
      </c>
      <c r="C1173" s="39">
        <f t="shared" si="77"/>
        <v>454</v>
      </c>
    </row>
    <row r="1174" spans="1:3">
      <c r="A1174" s="335">
        <v>1167</v>
      </c>
      <c r="B1174" s="39">
        <f t="shared" si="76"/>
        <v>394</v>
      </c>
      <c r="C1174" s="39">
        <f t="shared" si="77"/>
        <v>454</v>
      </c>
    </row>
    <row r="1175" spans="1:3">
      <c r="A1175" s="335">
        <v>1168</v>
      </c>
      <c r="B1175" s="39">
        <f t="shared" si="76"/>
        <v>394</v>
      </c>
      <c r="C1175" s="39">
        <f t="shared" si="77"/>
        <v>454</v>
      </c>
    </row>
    <row r="1176" spans="1:3">
      <c r="A1176" s="335">
        <v>1169</v>
      </c>
      <c r="B1176" s="39">
        <f t="shared" si="76"/>
        <v>394</v>
      </c>
      <c r="C1176" s="39">
        <f t="shared" si="77"/>
        <v>454</v>
      </c>
    </row>
    <row r="1177" spans="1:3">
      <c r="A1177" s="335">
        <v>1170</v>
      </c>
      <c r="B1177" s="39">
        <f t="shared" si="76"/>
        <v>394</v>
      </c>
      <c r="C1177" s="39">
        <f t="shared" si="77"/>
        <v>454</v>
      </c>
    </row>
    <row r="1178" spans="1:3">
      <c r="A1178" s="335">
        <v>1171</v>
      </c>
      <c r="B1178" s="39">
        <f t="shared" si="76"/>
        <v>394</v>
      </c>
      <c r="C1178" s="39">
        <f t="shared" si="77"/>
        <v>454</v>
      </c>
    </row>
    <row r="1179" spans="1:3">
      <c r="A1179" s="335">
        <v>1172</v>
      </c>
      <c r="B1179" s="39">
        <f t="shared" si="76"/>
        <v>394</v>
      </c>
      <c r="C1179" s="39">
        <f t="shared" si="77"/>
        <v>454</v>
      </c>
    </row>
    <row r="1180" spans="1:3">
      <c r="A1180" s="335">
        <v>1173</v>
      </c>
      <c r="B1180" s="39">
        <f t="shared" si="76"/>
        <v>394</v>
      </c>
      <c r="C1180" s="39">
        <f t="shared" si="77"/>
        <v>454</v>
      </c>
    </row>
    <row r="1181" spans="1:3">
      <c r="A1181" s="335">
        <v>1174</v>
      </c>
      <c r="B1181" s="39">
        <f t="shared" si="76"/>
        <v>394</v>
      </c>
      <c r="C1181" s="39">
        <f t="shared" si="77"/>
        <v>454</v>
      </c>
    </row>
    <row r="1182" spans="1:3">
      <c r="A1182" s="335">
        <v>1175</v>
      </c>
      <c r="B1182" s="39">
        <f t="shared" si="76"/>
        <v>394</v>
      </c>
      <c r="C1182" s="39">
        <f t="shared" si="77"/>
        <v>454</v>
      </c>
    </row>
    <row r="1183" spans="1:3">
      <c r="A1183" s="335">
        <v>1176</v>
      </c>
      <c r="B1183" s="39">
        <f t="shared" si="76"/>
        <v>394</v>
      </c>
      <c r="C1183" s="39">
        <f t="shared" si="77"/>
        <v>454</v>
      </c>
    </row>
    <row r="1184" spans="1:3">
      <c r="A1184" s="335">
        <v>1177</v>
      </c>
      <c r="B1184" s="39">
        <f t="shared" si="76"/>
        <v>394</v>
      </c>
      <c r="C1184" s="39">
        <f t="shared" si="77"/>
        <v>454</v>
      </c>
    </row>
    <row r="1185" spans="1:3">
      <c r="A1185" s="335">
        <v>1178</v>
      </c>
      <c r="B1185" s="39">
        <f t="shared" si="76"/>
        <v>394</v>
      </c>
      <c r="C1185" s="39">
        <f t="shared" si="77"/>
        <v>454</v>
      </c>
    </row>
    <row r="1186" spans="1:3">
      <c r="A1186" s="335">
        <v>1179</v>
      </c>
      <c r="B1186" s="39">
        <f t="shared" si="76"/>
        <v>394</v>
      </c>
      <c r="C1186" s="39">
        <f t="shared" si="77"/>
        <v>454</v>
      </c>
    </row>
    <row r="1187" spans="1:3">
      <c r="A1187" s="335">
        <v>1180</v>
      </c>
      <c r="B1187" s="39">
        <f t="shared" si="76"/>
        <v>394</v>
      </c>
      <c r="C1187" s="39">
        <f t="shared" si="77"/>
        <v>454</v>
      </c>
    </row>
    <row r="1188" spans="1:3">
      <c r="A1188" s="335">
        <v>1181</v>
      </c>
      <c r="B1188" s="39">
        <f t="shared" si="76"/>
        <v>394</v>
      </c>
      <c r="C1188" s="39">
        <f t="shared" si="77"/>
        <v>454</v>
      </c>
    </row>
    <row r="1189" spans="1:3">
      <c r="A1189" s="335">
        <v>1182</v>
      </c>
      <c r="B1189" s="39">
        <f t="shared" si="76"/>
        <v>394</v>
      </c>
      <c r="C1189" s="39">
        <f t="shared" si="77"/>
        <v>454</v>
      </c>
    </row>
    <row r="1190" spans="1:3">
      <c r="A1190" s="335">
        <v>1183</v>
      </c>
      <c r="B1190" s="39">
        <f t="shared" si="76"/>
        <v>394</v>
      </c>
      <c r="C1190" s="39">
        <f t="shared" si="77"/>
        <v>454</v>
      </c>
    </row>
    <row r="1191" spans="1:3">
      <c r="A1191" s="335">
        <v>1184</v>
      </c>
      <c r="B1191" s="39">
        <f t="shared" si="76"/>
        <v>394</v>
      </c>
      <c r="C1191" s="39">
        <f t="shared" si="77"/>
        <v>454</v>
      </c>
    </row>
    <row r="1192" spans="1:3">
      <c r="A1192" s="335">
        <v>1185</v>
      </c>
      <c r="B1192" s="39">
        <f t="shared" si="76"/>
        <v>394</v>
      </c>
      <c r="C1192" s="39">
        <f t="shared" si="77"/>
        <v>454</v>
      </c>
    </row>
    <row r="1193" spans="1:3">
      <c r="A1193" s="335">
        <v>1186</v>
      </c>
      <c r="B1193" s="39">
        <f t="shared" si="76"/>
        <v>394</v>
      </c>
      <c r="C1193" s="39">
        <f t="shared" si="77"/>
        <v>454</v>
      </c>
    </row>
    <row r="1194" spans="1:3">
      <c r="A1194" s="335">
        <v>1187</v>
      </c>
      <c r="B1194" s="39">
        <f t="shared" si="76"/>
        <v>394</v>
      </c>
      <c r="C1194" s="39">
        <f t="shared" si="77"/>
        <v>454</v>
      </c>
    </row>
    <row r="1195" spans="1:3">
      <c r="A1195" s="335">
        <v>1188</v>
      </c>
      <c r="B1195" s="39">
        <f t="shared" si="76"/>
        <v>394</v>
      </c>
      <c r="C1195" s="39">
        <f t="shared" si="77"/>
        <v>454</v>
      </c>
    </row>
    <row r="1196" spans="1:3">
      <c r="A1196" s="335">
        <v>1189</v>
      </c>
      <c r="B1196" s="39">
        <f t="shared" si="76"/>
        <v>394</v>
      </c>
      <c r="C1196" s="39">
        <f t="shared" si="77"/>
        <v>454</v>
      </c>
    </row>
    <row r="1197" spans="1:3">
      <c r="A1197" s="335">
        <v>1190</v>
      </c>
      <c r="B1197" s="39">
        <f t="shared" si="76"/>
        <v>394</v>
      </c>
      <c r="C1197" s="39">
        <f t="shared" si="77"/>
        <v>454</v>
      </c>
    </row>
    <row r="1198" spans="1:3">
      <c r="A1198" s="335">
        <v>1191</v>
      </c>
      <c r="B1198" s="39">
        <f t="shared" si="76"/>
        <v>394</v>
      </c>
      <c r="C1198" s="39">
        <f t="shared" si="77"/>
        <v>454</v>
      </c>
    </row>
    <row r="1199" spans="1:3">
      <c r="A1199" s="335">
        <v>1192</v>
      </c>
      <c r="B1199" s="39">
        <f t="shared" ref="B1199:B1208" si="78">IF(B1198=F1199,A1199,B1198)</f>
        <v>394</v>
      </c>
      <c r="C1199" s="39">
        <f t="shared" ref="C1199:C1208" si="79" xml:space="preserve"> IF(C1198=F1199,A1199,C1198)</f>
        <v>454</v>
      </c>
    </row>
    <row r="1200" spans="1:3">
      <c r="A1200" s="335">
        <v>1193</v>
      </c>
      <c r="B1200" s="39">
        <f t="shared" si="78"/>
        <v>394</v>
      </c>
      <c r="C1200" s="39">
        <f t="shared" si="79"/>
        <v>454</v>
      </c>
    </row>
    <row r="1201" spans="1:14">
      <c r="A1201" s="335">
        <v>1194</v>
      </c>
      <c r="B1201" s="39">
        <f t="shared" si="78"/>
        <v>394</v>
      </c>
      <c r="C1201" s="39">
        <f t="shared" si="79"/>
        <v>454</v>
      </c>
    </row>
    <row r="1202" spans="1:14">
      <c r="A1202" s="335">
        <v>1195</v>
      </c>
      <c r="B1202" s="39">
        <f t="shared" si="78"/>
        <v>394</v>
      </c>
      <c r="C1202" s="39">
        <f t="shared" si="79"/>
        <v>454</v>
      </c>
    </row>
    <row r="1203" spans="1:14">
      <c r="A1203" s="335">
        <v>1196</v>
      </c>
      <c r="B1203" s="39">
        <f t="shared" si="78"/>
        <v>394</v>
      </c>
      <c r="C1203" s="39">
        <f t="shared" si="79"/>
        <v>454</v>
      </c>
    </row>
    <row r="1204" spans="1:14">
      <c r="A1204" s="335">
        <v>1197</v>
      </c>
      <c r="B1204" s="39">
        <f t="shared" si="78"/>
        <v>394</v>
      </c>
      <c r="C1204" s="39">
        <f t="shared" si="79"/>
        <v>454</v>
      </c>
    </row>
    <row r="1205" spans="1:14">
      <c r="A1205" s="335">
        <v>1198</v>
      </c>
      <c r="B1205" s="39">
        <f t="shared" si="78"/>
        <v>394</v>
      </c>
      <c r="C1205" s="39">
        <f t="shared" si="79"/>
        <v>454</v>
      </c>
    </row>
    <row r="1206" spans="1:14">
      <c r="A1206" s="335">
        <v>1199</v>
      </c>
      <c r="B1206" s="39">
        <f t="shared" si="78"/>
        <v>394</v>
      </c>
      <c r="C1206" s="39">
        <f t="shared" si="79"/>
        <v>454</v>
      </c>
    </row>
    <row r="1207" spans="1:14">
      <c r="A1207" s="335">
        <v>1200</v>
      </c>
      <c r="B1207" s="39">
        <f t="shared" si="78"/>
        <v>394</v>
      </c>
      <c r="C1207" s="39">
        <f t="shared" si="79"/>
        <v>454</v>
      </c>
    </row>
    <row r="1208" spans="1:14">
      <c r="A1208" s="336">
        <v>1201</v>
      </c>
      <c r="B1208" s="274">
        <f t="shared" si="78"/>
        <v>394</v>
      </c>
      <c r="C1208" s="274">
        <f t="shared" si="79"/>
        <v>454</v>
      </c>
      <c r="F1208" s="26" t="s">
        <v>3988</v>
      </c>
      <c r="G1208" s="26" t="s">
        <v>3988</v>
      </c>
      <c r="H1208" s="26" t="s">
        <v>3988</v>
      </c>
      <c r="I1208" s="26" t="s">
        <v>3988</v>
      </c>
      <c r="J1208" s="26" t="s">
        <v>3988</v>
      </c>
      <c r="K1208" s="26" t="s">
        <v>3988</v>
      </c>
      <c r="L1208" s="26" t="s">
        <v>3988</v>
      </c>
      <c r="M1208" s="26" t="s">
        <v>3988</v>
      </c>
      <c r="N1208" s="26" t="s">
        <v>3988</v>
      </c>
    </row>
    <row r="1209" spans="1:14">
      <c r="B1209" s="605">
        <f>IF(B1208=B5,0,B1208)</f>
        <v>394</v>
      </c>
      <c r="C1209" s="605">
        <f>IF(C1208=C5,0,C1208)</f>
        <v>454</v>
      </c>
      <c r="F1209" s="51"/>
      <c r="G1209" s="51"/>
      <c r="H1209" s="51"/>
      <c r="I1209" s="51"/>
      <c r="J1209" s="51"/>
      <c r="K1209" s="604" t="s">
        <v>3987</v>
      </c>
      <c r="L1209" s="51"/>
      <c r="M1209" s="51"/>
      <c r="N1209" s="52"/>
    </row>
    <row r="1210" spans="1:14">
      <c r="A1210" s="64"/>
      <c r="B1210" s="56" t="s">
        <v>2673</v>
      </c>
      <c r="C1210" s="64"/>
    </row>
    <row r="1211" spans="1:14">
      <c r="A1211" s="44" t="s">
        <v>2981</v>
      </c>
      <c r="B1211" s="44"/>
      <c r="C1211" s="44"/>
    </row>
    <row r="1212" spans="1:14">
      <c r="A1212" s="44" t="s">
        <v>2982</v>
      </c>
      <c r="B1212" s="44"/>
      <c r="C1212" s="44"/>
    </row>
    <row r="1213" spans="1:14">
      <c r="B1213" s="92" t="str">
        <f>IF(B1209=0,A1211,"")</f>
        <v/>
      </c>
    </row>
    <row r="1214" spans="1:14">
      <c r="B1214" s="92" t="str">
        <f>IF(B1209=0,A1212,"")</f>
        <v/>
      </c>
    </row>
    <row r="1215" spans="1:14">
      <c r="A1215" s="59"/>
      <c r="B1215" s="265" t="s">
        <v>2667</v>
      </c>
      <c r="C1215" s="59"/>
    </row>
    <row r="1216" spans="1:14">
      <c r="B1216" s="92" t="str">
        <f>IF(C1209=0,A1211,"")</f>
        <v/>
      </c>
    </row>
    <row r="1217" spans="2:2">
      <c r="B1217" s="92" t="str">
        <f>IF(C1209=0,A1212,"")</f>
        <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D1:AW74"/>
  <sheetViews>
    <sheetView tabSelected="1" topLeftCell="E5" zoomScale="110" zoomScaleNormal="110" workbookViewId="0">
      <selection activeCell="O26" sqref="O26"/>
    </sheetView>
  </sheetViews>
  <sheetFormatPr defaultRowHeight="15"/>
  <cols>
    <col min="4" max="4" width="9.140625" style="1"/>
    <col min="5" max="5" width="5" style="1" customWidth="1"/>
    <col min="6" max="6" width="0.7109375" style="1" customWidth="1"/>
    <col min="7" max="8" width="2.28515625" style="1" customWidth="1"/>
    <col min="9" max="9" width="22.7109375" style="1" customWidth="1"/>
    <col min="10" max="10" width="6.28515625" style="62" customWidth="1"/>
    <col min="11" max="11" width="3.85546875" style="1" customWidth="1"/>
    <col min="12" max="12" width="3.7109375" style="1" customWidth="1"/>
    <col min="13" max="13" width="5.85546875" style="1" customWidth="1"/>
    <col min="14" max="14" width="6.7109375" style="1" customWidth="1"/>
    <col min="15" max="15" width="8.5703125" style="1" customWidth="1"/>
    <col min="16" max="16" width="9.140625" style="1"/>
    <col min="17" max="17" width="6.85546875" style="1" customWidth="1"/>
    <col min="18" max="18" width="4.140625" style="1" customWidth="1"/>
    <col min="19" max="19" width="5.7109375" style="1" customWidth="1"/>
    <col min="20" max="20" width="4.7109375" style="1" customWidth="1"/>
    <col min="21" max="21" width="7.140625" style="1" customWidth="1"/>
    <col min="22" max="22" width="6.28515625" style="1" customWidth="1"/>
    <col min="23" max="23" width="6.85546875" style="1" customWidth="1"/>
    <col min="24" max="24" width="1.7109375" style="1" customWidth="1"/>
    <col min="25" max="25" width="9.140625" style="1"/>
    <col min="26" max="26" width="36.42578125" style="1" customWidth="1"/>
    <col min="27" max="34" width="9.140625" style="1"/>
    <col min="37" max="37" width="20.28515625" style="1" customWidth="1"/>
    <col min="38" max="38" width="19.42578125" style="1" customWidth="1"/>
    <col min="39" max="39" width="9" style="1" customWidth="1"/>
    <col min="40" max="49" width="9.140625" style="1"/>
  </cols>
  <sheetData>
    <row r="1" spans="4:26">
      <c r="D1" s="98"/>
      <c r="E1" s="98"/>
      <c r="F1" s="98"/>
      <c r="G1" s="98"/>
      <c r="H1" s="98"/>
      <c r="I1" s="98"/>
      <c r="J1" s="98"/>
      <c r="K1" s="98"/>
      <c r="L1" s="98"/>
      <c r="M1" s="98"/>
      <c r="N1" s="98"/>
      <c r="O1" s="98"/>
      <c r="P1" s="98"/>
      <c r="Q1" s="98"/>
      <c r="R1" s="98"/>
      <c r="S1" s="98"/>
      <c r="T1" s="98"/>
      <c r="U1" s="98"/>
      <c r="V1" s="98"/>
      <c r="W1" s="98"/>
      <c r="X1" s="98"/>
      <c r="Y1" s="98"/>
      <c r="Z1" s="98"/>
    </row>
    <row r="2" spans="4:26">
      <c r="D2" s="98"/>
      <c r="E2" s="98"/>
      <c r="F2" s="98"/>
      <c r="G2" s="98"/>
      <c r="H2" s="98"/>
      <c r="I2" s="98"/>
      <c r="J2" s="98"/>
      <c r="K2" s="98"/>
      <c r="L2" s="98"/>
      <c r="M2" s="98"/>
      <c r="N2" s="98"/>
      <c r="O2" s="98"/>
      <c r="P2" s="98"/>
      <c r="Q2" s="98"/>
      <c r="R2" s="98"/>
      <c r="S2" s="98"/>
      <c r="T2" s="98"/>
      <c r="U2" s="98"/>
      <c r="V2" s="98"/>
      <c r="W2" s="98"/>
      <c r="X2" s="98"/>
      <c r="Y2" s="98"/>
      <c r="Z2" s="98"/>
    </row>
    <row r="3" spans="4:26">
      <c r="D3" s="98"/>
      <c r="E3" s="98"/>
      <c r="F3" s="98"/>
      <c r="G3" s="98"/>
      <c r="H3" s="98"/>
      <c r="I3" s="98"/>
      <c r="J3" s="98"/>
      <c r="K3" s="98"/>
      <c r="L3" s="98"/>
      <c r="M3" s="98"/>
      <c r="N3" s="98"/>
      <c r="O3" s="98"/>
      <c r="P3" s="98"/>
      <c r="Q3" s="98"/>
      <c r="R3" s="98"/>
      <c r="S3" s="98"/>
      <c r="T3" s="98"/>
      <c r="U3" s="98"/>
      <c r="V3" s="98"/>
      <c r="W3" s="98"/>
      <c r="X3" s="98"/>
      <c r="Y3" s="98"/>
      <c r="Z3" s="98"/>
    </row>
    <row r="4" spans="4:26">
      <c r="D4" s="98"/>
      <c r="E4" s="98"/>
      <c r="F4" s="98"/>
      <c r="G4" s="98"/>
      <c r="H4" s="98"/>
      <c r="I4" s="98"/>
      <c r="J4" s="98"/>
      <c r="K4" s="98"/>
      <c r="L4" s="98"/>
      <c r="M4" s="98"/>
      <c r="N4" s="98"/>
      <c r="O4" s="98"/>
      <c r="P4" s="98"/>
      <c r="Q4" s="98"/>
      <c r="R4" s="98"/>
      <c r="S4" s="98"/>
      <c r="T4" s="98"/>
      <c r="U4" s="98"/>
      <c r="V4" s="98"/>
      <c r="W4" s="98"/>
      <c r="X4" s="98"/>
      <c r="Y4" s="98"/>
      <c r="Z4" s="98"/>
    </row>
    <row r="5" spans="4:26">
      <c r="D5" s="98"/>
      <c r="E5" s="98"/>
      <c r="F5" s="98"/>
      <c r="G5" s="98"/>
      <c r="H5" s="98"/>
      <c r="I5" s="98"/>
      <c r="J5" s="98"/>
      <c r="K5" s="98"/>
      <c r="L5" s="98"/>
      <c r="M5" s="98"/>
      <c r="N5" s="98"/>
      <c r="O5" s="98"/>
      <c r="P5" s="98"/>
      <c r="Q5" s="98"/>
      <c r="R5" s="98"/>
      <c r="S5" s="98"/>
      <c r="T5" s="98"/>
      <c r="U5" s="98"/>
      <c r="V5" s="98"/>
      <c r="W5" s="98"/>
      <c r="X5" s="98"/>
      <c r="Y5" s="98"/>
      <c r="Z5" s="98"/>
    </row>
    <row r="6" spans="4:26">
      <c r="D6" s="98"/>
      <c r="E6" s="98"/>
      <c r="F6" s="98"/>
      <c r="G6" s="98"/>
      <c r="H6" s="98"/>
      <c r="I6" s="98"/>
      <c r="J6" s="98"/>
      <c r="K6" s="98"/>
      <c r="L6" s="98"/>
      <c r="M6" s="98"/>
      <c r="N6" s="98"/>
      <c r="O6" s="98"/>
      <c r="P6" s="98"/>
      <c r="Q6" s="98"/>
      <c r="R6" s="98"/>
      <c r="S6" s="98"/>
      <c r="T6" s="98"/>
      <c r="U6" s="98"/>
      <c r="V6" s="98"/>
      <c r="W6" s="98"/>
      <c r="X6" s="98"/>
      <c r="Y6" s="98"/>
      <c r="Z6" s="98"/>
    </row>
    <row r="7" spans="4:26">
      <c r="D7" s="98"/>
      <c r="E7" s="98"/>
      <c r="F7" s="98"/>
      <c r="G7" s="98"/>
      <c r="H7" s="98"/>
      <c r="I7" s="98"/>
      <c r="J7" s="98"/>
      <c r="K7" s="98"/>
      <c r="L7" s="98"/>
      <c r="M7" s="98"/>
      <c r="N7" s="98"/>
      <c r="O7" s="98"/>
      <c r="P7" s="98"/>
      <c r="Q7" s="98"/>
      <c r="R7" s="98"/>
      <c r="S7" s="98"/>
      <c r="T7" s="98"/>
      <c r="U7" s="98"/>
      <c r="V7" s="98"/>
      <c r="W7" s="98"/>
      <c r="X7" s="98"/>
      <c r="Y7" s="98"/>
      <c r="Z7" s="98"/>
    </row>
    <row r="8" spans="4:26">
      <c r="D8" s="98"/>
      <c r="E8" s="98"/>
      <c r="F8" s="98"/>
      <c r="G8" s="98"/>
      <c r="H8" s="98"/>
      <c r="I8" s="98"/>
      <c r="J8" s="98"/>
      <c r="K8" s="98"/>
      <c r="L8" s="98"/>
      <c r="M8" s="98"/>
      <c r="N8" s="98"/>
      <c r="O8" s="98"/>
      <c r="P8" s="98"/>
      <c r="Q8" s="98"/>
      <c r="R8" s="98"/>
      <c r="S8" s="98"/>
      <c r="T8" s="98"/>
      <c r="U8" s="98"/>
      <c r="V8" s="98"/>
      <c r="W8" s="98"/>
      <c r="X8" s="98"/>
      <c r="Y8" s="98"/>
      <c r="Z8" s="98"/>
    </row>
    <row r="9" spans="4:26">
      <c r="D9" s="98"/>
      <c r="E9" s="98"/>
      <c r="F9" s="98"/>
      <c r="G9" s="98"/>
      <c r="H9" s="98"/>
      <c r="I9" s="98"/>
      <c r="J9" s="98"/>
      <c r="K9" s="98"/>
      <c r="L9" s="98"/>
      <c r="M9" s="98"/>
      <c r="N9" s="98"/>
      <c r="O9" s="98"/>
      <c r="P9" s="98"/>
      <c r="Q9" s="98"/>
      <c r="R9" s="98"/>
      <c r="S9" s="98"/>
      <c r="T9" s="98"/>
      <c r="U9" s="98"/>
      <c r="V9" s="98"/>
      <c r="W9" s="98"/>
      <c r="X9" s="98"/>
      <c r="Y9" s="98"/>
      <c r="Z9" s="98"/>
    </row>
    <row r="10" spans="4:26">
      <c r="D10" s="98"/>
      <c r="E10" s="98"/>
      <c r="F10" s="98"/>
      <c r="G10" s="100" t="s">
        <v>2696</v>
      </c>
      <c r="H10" s="100"/>
      <c r="I10" s="99"/>
      <c r="J10" s="100" t="str">
        <f>Φύλλο1!AP46</f>
        <v/>
      </c>
      <c r="K10" s="99"/>
      <c r="L10" s="99"/>
      <c r="M10" s="99"/>
      <c r="N10" s="99"/>
      <c r="O10" s="99"/>
      <c r="P10" s="100" t="s">
        <v>2696</v>
      </c>
      <c r="Q10" s="99"/>
      <c r="R10" s="99"/>
      <c r="S10" s="100" t="str">
        <f>Φύλλο1!BA46</f>
        <v/>
      </c>
      <c r="T10" s="99"/>
      <c r="U10" s="99"/>
      <c r="V10" s="99"/>
      <c r="W10" s="101"/>
      <c r="X10" s="98"/>
      <c r="Y10" s="98"/>
      <c r="Z10" s="98"/>
    </row>
    <row r="11" spans="4:26">
      <c r="D11" s="98"/>
      <c r="E11" s="98"/>
      <c r="F11" s="98"/>
      <c r="G11" s="102" t="s">
        <v>2697</v>
      </c>
      <c r="H11" s="105"/>
      <c r="I11" s="7"/>
      <c r="J11" s="103">
        <f>Φύλλο1!AP47</f>
        <v>394</v>
      </c>
      <c r="K11" s="7"/>
      <c r="L11" s="7"/>
      <c r="M11" s="7"/>
      <c r="N11" s="104"/>
      <c r="O11" s="7"/>
      <c r="P11" s="105" t="s">
        <v>2698</v>
      </c>
      <c r="Q11" s="7"/>
      <c r="R11" s="7"/>
      <c r="S11" s="7"/>
      <c r="T11" s="7"/>
      <c r="U11" s="103">
        <f>Φύλλο1!BA47</f>
        <v>454</v>
      </c>
      <c r="V11" s="7"/>
      <c r="W11" s="106"/>
      <c r="X11" s="98"/>
      <c r="Y11" s="98"/>
      <c r="Z11" s="98"/>
    </row>
    <row r="12" spans="4:26">
      <c r="D12" s="98"/>
      <c r="E12" s="98"/>
      <c r="F12" s="98"/>
      <c r="G12" s="107" t="str">
        <f>Φύλλο1!AN48</f>
        <v/>
      </c>
      <c r="H12" s="301"/>
      <c r="I12" s="108"/>
      <c r="J12" s="108"/>
      <c r="K12" s="108"/>
      <c r="L12" s="108"/>
      <c r="M12" s="108"/>
      <c r="N12" s="109" t="s">
        <v>2699</v>
      </c>
      <c r="O12" s="110"/>
      <c r="P12" s="110"/>
      <c r="Q12" s="301" t="str">
        <f>Φύλλο1!AV48</f>
        <v/>
      </c>
      <c r="R12" s="108"/>
      <c r="S12" s="108"/>
      <c r="T12" s="108"/>
      <c r="U12" s="108"/>
      <c r="V12" s="108"/>
      <c r="W12" s="111"/>
      <c r="X12" s="98"/>
      <c r="Y12" s="98"/>
      <c r="Z12" s="98"/>
    </row>
    <row r="13" spans="4:26">
      <c r="D13" s="98"/>
      <c r="E13" s="98"/>
      <c r="F13" s="98"/>
      <c r="G13" s="107" t="str">
        <f>Φύλλο1!AN49</f>
        <v/>
      </c>
      <c r="H13" s="301"/>
      <c r="I13" s="108"/>
      <c r="J13" s="108"/>
      <c r="K13" s="108"/>
      <c r="L13" s="108"/>
      <c r="M13" s="108"/>
      <c r="N13" s="120" t="str">
        <f>IF(AF47=1,"Ενεργή Οθόνη","Αδρανής Οθόνη")</f>
        <v>Ενεργή Οθόνη</v>
      </c>
      <c r="O13" s="110"/>
      <c r="P13" s="110"/>
      <c r="Q13" s="301" t="str">
        <f>Φύλλο1!AV49</f>
        <v/>
      </c>
      <c r="R13" s="108"/>
      <c r="S13" s="108"/>
      <c r="T13" s="108"/>
      <c r="U13" s="108"/>
      <c r="V13" s="108"/>
      <c r="W13" s="111"/>
      <c r="X13" s="98"/>
      <c r="Y13" s="98"/>
      <c r="Z13" s="98"/>
    </row>
    <row r="14" spans="4:26" ht="18.75">
      <c r="D14" s="98"/>
      <c r="E14" s="98"/>
      <c r="F14" s="98"/>
      <c r="G14" s="112" t="s">
        <v>2701</v>
      </c>
      <c r="H14" s="574"/>
      <c r="I14" s="110"/>
      <c r="J14" s="110"/>
      <c r="K14" s="109" t="s">
        <v>2702</v>
      </c>
      <c r="L14" s="110"/>
      <c r="M14" s="110"/>
      <c r="N14" s="110"/>
      <c r="O14" s="110"/>
      <c r="P14" s="113"/>
      <c r="Q14" s="593"/>
      <c r="R14" s="109" t="s">
        <v>2703</v>
      </c>
      <c r="S14" s="110"/>
      <c r="T14" s="110"/>
      <c r="U14" s="110"/>
      <c r="V14" s="110"/>
      <c r="W14" s="114"/>
      <c r="X14" s="98"/>
      <c r="Y14" s="98"/>
      <c r="Z14" s="98"/>
    </row>
    <row r="15" spans="4:26">
      <c r="D15" s="98"/>
      <c r="E15" s="98"/>
      <c r="F15" s="98"/>
      <c r="G15" s="115" t="s">
        <v>3393</v>
      </c>
      <c r="H15" s="119"/>
      <c r="I15" s="116"/>
      <c r="J15" s="110"/>
      <c r="K15" s="117">
        <f ca="1">Φύλλο1!AQ51</f>
        <v>18</v>
      </c>
      <c r="L15" s="118">
        <f ca="1">Φύλλο1!AR51</f>
        <v>37</v>
      </c>
      <c r="M15" s="302">
        <f ca="1">Φύλλο1!AS51</f>
        <v>36.625611642306239</v>
      </c>
      <c r="N15" s="119" t="s">
        <v>2704</v>
      </c>
      <c r="O15" s="110"/>
      <c r="P15" s="110"/>
      <c r="Q15" s="354"/>
      <c r="R15" s="117">
        <f ca="1">Φύλλο1!AX51</f>
        <v>18</v>
      </c>
      <c r="S15" s="118">
        <f ca="1">Φύλλο1!AY51</f>
        <v>54</v>
      </c>
      <c r="T15" s="302">
        <f ca="1">Φύλλο1!AZ51</f>
        <v>19.71088496131074</v>
      </c>
      <c r="U15" s="110"/>
      <c r="V15" s="110"/>
      <c r="W15" s="114"/>
      <c r="X15" s="98"/>
      <c r="Y15" s="98"/>
      <c r="Z15" s="98"/>
    </row>
    <row r="16" spans="4:26">
      <c r="D16" s="98"/>
      <c r="E16" s="98"/>
      <c r="F16" s="98"/>
      <c r="G16" s="115" t="s">
        <v>3394</v>
      </c>
      <c r="H16" s="119"/>
      <c r="I16" s="116"/>
      <c r="J16" s="120" t="str">
        <f>Φύλλο1!AP52</f>
        <v/>
      </c>
      <c r="K16" s="110"/>
      <c r="L16" s="110"/>
      <c r="M16" s="120" t="str">
        <f>Φύλλο1!AS52</f>
        <v/>
      </c>
      <c r="N16" s="121" t="s">
        <v>2705</v>
      </c>
      <c r="O16" s="122"/>
      <c r="P16" s="123">
        <f ca="1">Φύλλο1!AV52</f>
        <v>-16.718087888650075</v>
      </c>
      <c r="Q16" s="120" t="str">
        <f>Φύλλο1!AW52</f>
        <v/>
      </c>
      <c r="R16" s="120" t="str">
        <f>Φύλλο1!AZ52</f>
        <v/>
      </c>
      <c r="S16" s="113" t="s">
        <v>3405</v>
      </c>
      <c r="T16" s="346"/>
      <c r="U16" s="348" t="str">
        <f ca="1">Φύλλο3!I45</f>
        <v xml:space="preserve">Δυτικά </v>
      </c>
      <c r="V16" s="110"/>
      <c r="W16" s="114"/>
      <c r="X16" s="98"/>
      <c r="Y16" s="98"/>
      <c r="Z16" s="98"/>
    </row>
    <row r="17" spans="4:39" ht="18.75">
      <c r="D17" s="98"/>
      <c r="E17" s="98"/>
      <c r="F17" s="98"/>
      <c r="G17" s="115" t="s">
        <v>3395</v>
      </c>
      <c r="H17" s="119"/>
      <c r="I17" s="116"/>
      <c r="J17" s="120" t="str">
        <f>Φύλλο1!AP53</f>
        <v/>
      </c>
      <c r="K17" s="110"/>
      <c r="L17" s="110"/>
      <c r="M17" s="120" t="str">
        <f>Φύλλο1!AS53</f>
        <v/>
      </c>
      <c r="N17" s="124" t="str">
        <f ca="1">Φύλλο1!AT53</f>
        <v>ΑΝΑΤΟΛΙΚΑ</v>
      </c>
      <c r="O17" s="110"/>
      <c r="P17" s="125"/>
      <c r="Q17" s="120" t="str">
        <f>Φύλλο1!AW53</f>
        <v/>
      </c>
      <c r="R17" s="120" t="str">
        <f>Φύλλο1!AZ53</f>
        <v/>
      </c>
      <c r="S17" s="113" t="s">
        <v>3407</v>
      </c>
      <c r="T17" s="120"/>
      <c r="U17" s="346">
        <f ca="1">Φύλλο3!I47</f>
        <v>7</v>
      </c>
      <c r="V17" s="346">
        <f ca="1">Φύλλο3!I48</f>
        <v>33</v>
      </c>
      <c r="W17" s="114"/>
      <c r="X17" s="98"/>
      <c r="Y17" s="98"/>
      <c r="Z17" s="98"/>
    </row>
    <row r="18" spans="4:39" ht="18.75">
      <c r="D18" s="98"/>
      <c r="E18" s="98"/>
      <c r="F18" s="98"/>
      <c r="G18" s="126" t="s">
        <v>2706</v>
      </c>
      <c r="H18" s="113"/>
      <c r="I18" s="116"/>
      <c r="J18" s="120" t="str">
        <f>Φύλλο1!AP54</f>
        <v/>
      </c>
      <c r="K18" s="110"/>
      <c r="L18" s="110"/>
      <c r="M18" s="120" t="str">
        <f>Φύλλο1!AS54</f>
        <v/>
      </c>
      <c r="N18" s="127" t="s">
        <v>2707</v>
      </c>
      <c r="O18" s="128"/>
      <c r="P18" s="299">
        <f ca="1">Φύλλο1!AV54</f>
        <v>-1.6718087888650075</v>
      </c>
      <c r="Q18" s="120" t="str">
        <f>Φύλλο1!AW54</f>
        <v/>
      </c>
      <c r="R18" s="120" t="str">
        <f>Φύλλο1!AZ54</f>
        <v/>
      </c>
      <c r="S18" s="346" t="str">
        <f ca="1">Φύλλο3!G44</f>
        <v/>
      </c>
      <c r="T18" s="572" t="str">
        <f ca="1">Φύλλο3!H44</f>
        <v/>
      </c>
      <c r="U18" s="352" t="str">
        <f ca="1">Φύλλο3!I44</f>
        <v/>
      </c>
      <c r="V18" s="346"/>
      <c r="W18" s="347"/>
      <c r="X18" s="98"/>
      <c r="Y18" s="98"/>
      <c r="Z18" s="98"/>
    </row>
    <row r="19" spans="4:39" ht="18.75">
      <c r="D19" s="98"/>
      <c r="E19" s="98"/>
      <c r="F19" s="98"/>
      <c r="G19" s="573" t="str">
        <f ca="1">Φύλλο3!H51</f>
        <v/>
      </c>
      <c r="H19" s="352" t="str">
        <f ca="1">Φύλλο3!G51</f>
        <v/>
      </c>
      <c r="I19" s="346"/>
      <c r="J19" s="346"/>
      <c r="K19" s="109" t="s">
        <v>2709</v>
      </c>
      <c r="L19" s="110"/>
      <c r="M19" s="110"/>
      <c r="N19" s="110"/>
      <c r="O19" s="110"/>
      <c r="P19" s="110"/>
      <c r="Q19" s="109" t="s">
        <v>2710</v>
      </c>
      <c r="R19" s="110"/>
      <c r="S19" s="110"/>
      <c r="T19" s="110"/>
      <c r="U19" s="346" t="str">
        <f ca="1">Φύλλο3!J44</f>
        <v/>
      </c>
      <c r="V19" s="110"/>
      <c r="W19" s="114"/>
      <c r="X19" s="98"/>
      <c r="Y19" s="98"/>
      <c r="Z19" s="98"/>
      <c r="AM19" s="63"/>
    </row>
    <row r="20" spans="4:39">
      <c r="D20" s="98"/>
      <c r="E20" s="98"/>
      <c r="F20" s="98"/>
      <c r="G20" s="571" t="str">
        <f ca="1">Φύλλο3!J51</f>
        <v/>
      </c>
      <c r="H20" s="346"/>
      <c r="I20" s="346"/>
      <c r="J20" s="346"/>
      <c r="K20" s="117">
        <f ca="1">Φύλλο1!AQ56</f>
        <v>38</v>
      </c>
      <c r="L20" s="118">
        <f ca="1">Φύλλο1!AR56</f>
        <v>48</v>
      </c>
      <c r="M20" s="298">
        <f ca="1">Φύλλο1!AS56</f>
        <v>5.772530249479928</v>
      </c>
      <c r="N20" s="119" t="s">
        <v>2704</v>
      </c>
      <c r="O20" s="110"/>
      <c r="P20" s="110"/>
      <c r="Q20" s="110"/>
      <c r="R20" s="117">
        <f ca="1">Φύλλο1!AX56</f>
        <v>33</v>
      </c>
      <c r="S20" s="118">
        <f ca="1">Φύλλο1!AY56</f>
        <v>3</v>
      </c>
      <c r="T20" s="298">
        <f ca="1">Φύλλο1!AZ56</f>
        <v>18.308914428218941</v>
      </c>
      <c r="U20" s="110"/>
      <c r="V20" s="110"/>
      <c r="W20" s="114"/>
      <c r="X20" s="98"/>
      <c r="Y20" s="98"/>
      <c r="Z20" s="98"/>
    </row>
    <row r="21" spans="4:39">
      <c r="D21" s="98"/>
      <c r="E21" s="98"/>
      <c r="F21" s="98"/>
      <c r="G21" s="129" t="str">
        <f>Φύλλο1!AN57</f>
        <v/>
      </c>
      <c r="H21" s="120"/>
      <c r="I21" s="110"/>
      <c r="J21" s="110"/>
      <c r="K21" s="113" t="str">
        <f ca="1">Φύλλο3!G52</f>
        <v>Το ΑΠΟ</v>
      </c>
      <c r="L21" s="346"/>
      <c r="M21" s="346"/>
      <c r="N21" s="121" t="s">
        <v>12</v>
      </c>
      <c r="O21" s="122"/>
      <c r="P21" s="300">
        <f ca="1">Φύλλο1!AV57</f>
        <v>-5.7465176710614685</v>
      </c>
      <c r="Q21" s="120" t="str">
        <f>Φύλλο1!AW57</f>
        <v/>
      </c>
      <c r="R21" s="110"/>
      <c r="S21" s="110"/>
      <c r="T21" s="110"/>
      <c r="U21" s="110"/>
      <c r="V21" s="110"/>
      <c r="W21" s="114"/>
      <c r="X21" s="98"/>
      <c r="Y21" s="98"/>
      <c r="Z21" s="98"/>
    </row>
    <row r="22" spans="4:39" ht="18.75">
      <c r="D22" s="98"/>
      <c r="E22" s="98"/>
      <c r="F22" s="98"/>
      <c r="G22" s="129" t="str">
        <f>Φύλλο1!AN58</f>
        <v/>
      </c>
      <c r="H22" s="120"/>
      <c r="I22" s="110"/>
      <c r="J22" s="110"/>
      <c r="K22" s="346" t="str">
        <f ca="1">Φύλλο3!I52</f>
        <v xml:space="preserve">Δυτικά </v>
      </c>
      <c r="L22" s="346"/>
      <c r="M22" s="346"/>
      <c r="N22" s="124" t="str">
        <f ca="1">Φύλλο1!AT58</f>
        <v>ΝΟΤΙΑ</v>
      </c>
      <c r="O22" s="110"/>
      <c r="P22" s="125"/>
      <c r="Q22" s="120" t="str">
        <f>Φύλλο1!AW58</f>
        <v/>
      </c>
      <c r="R22" s="110"/>
      <c r="S22" s="110"/>
      <c r="T22" s="110"/>
      <c r="U22" s="110"/>
      <c r="V22" s="346" t="str">
        <f ca="1">Φύλλο3!V63</f>
        <v>Ώρα Ελλάδος</v>
      </c>
      <c r="W22" s="114"/>
      <c r="X22" s="98"/>
      <c r="Y22" s="98"/>
      <c r="Z22" s="98"/>
    </row>
    <row r="23" spans="4:39" ht="18.75">
      <c r="D23" s="98"/>
      <c r="E23" s="98"/>
      <c r="F23" s="98"/>
      <c r="G23" s="120" t="str">
        <f>Φύλλο1!AP59</f>
        <v/>
      </c>
      <c r="H23" s="120"/>
      <c r="I23" s="110"/>
      <c r="J23" s="120" t="str">
        <f>Φύλλο1!AS59</f>
        <v/>
      </c>
      <c r="K23" s="113" t="str">
        <f ca="1">Φύλλο3!G53</f>
        <v>Ωριαία γωνία</v>
      </c>
      <c r="L23" s="346"/>
      <c r="M23" s="566"/>
      <c r="N23" s="127" t="s">
        <v>2707</v>
      </c>
      <c r="O23" s="110"/>
      <c r="P23" s="299">
        <f ca="1">Φύλλο1!AV59</f>
        <v>-2.2986070684245874</v>
      </c>
      <c r="Q23" s="120" t="str">
        <f>Φύλλο1!AW59</f>
        <v/>
      </c>
      <c r="R23" s="120" t="str">
        <f>Φύλλο1!AZ59</f>
        <v/>
      </c>
      <c r="S23" s="110"/>
      <c r="T23" s="120"/>
      <c r="U23" s="110"/>
      <c r="V23" s="113" t="s">
        <v>3404</v>
      </c>
      <c r="W23" s="347">
        <f ca="1">AM40</f>
        <v>17</v>
      </c>
      <c r="X23" s="98"/>
      <c r="Y23" s="98"/>
      <c r="Z23" s="98"/>
    </row>
    <row r="24" spans="4:39">
      <c r="D24" s="98"/>
      <c r="E24" s="98"/>
      <c r="F24" s="98"/>
      <c r="G24" s="120" t="str">
        <f>Φύλλο1!AP60</f>
        <v/>
      </c>
      <c r="H24" s="120"/>
      <c r="I24" s="110"/>
      <c r="J24" s="120" t="str">
        <f>Φύλλο1!AS60</f>
        <v/>
      </c>
      <c r="K24" s="346"/>
      <c r="L24" s="346">
        <f ca="1">Φύλλο3!I54</f>
        <v>7</v>
      </c>
      <c r="M24" s="566">
        <f ca="1">Φύλλο3!I55</f>
        <v>50</v>
      </c>
      <c r="N24" s="130" t="s">
        <v>2673</v>
      </c>
      <c r="O24" s="355" t="s">
        <v>4113</v>
      </c>
      <c r="P24" s="110"/>
      <c r="Q24" s="120" t="str">
        <f>Φύλλο1!AW60</f>
        <v/>
      </c>
      <c r="R24" s="120" t="str">
        <f>Φύλλο1!AZ60</f>
        <v/>
      </c>
      <c r="S24" s="110"/>
      <c r="T24" s="120"/>
      <c r="U24" s="110"/>
      <c r="V24" s="113" t="s">
        <v>2810</v>
      </c>
      <c r="W24" s="347">
        <f ca="1">AM41</f>
        <v>59</v>
      </c>
      <c r="X24" s="98"/>
      <c r="Y24" s="98"/>
      <c r="Z24" s="98"/>
    </row>
    <row r="25" spans="4:39">
      <c r="D25" s="98"/>
      <c r="E25" s="98"/>
      <c r="F25" s="98"/>
      <c r="G25" s="120" t="str">
        <f>Φύλλο1!AP61</f>
        <v/>
      </c>
      <c r="H25" s="120"/>
      <c r="I25" s="110"/>
      <c r="J25" s="120" t="str">
        <f>Φύλλο1!AS61</f>
        <v/>
      </c>
      <c r="K25" s="346"/>
      <c r="L25" s="346"/>
      <c r="M25" s="566"/>
      <c r="N25" s="131" t="s">
        <v>2667</v>
      </c>
      <c r="O25" s="355" t="s">
        <v>4114</v>
      </c>
      <c r="P25" s="110"/>
      <c r="Q25" s="120" t="str">
        <f>Φύλλο1!AW61</f>
        <v/>
      </c>
      <c r="R25" s="120" t="str">
        <f>Φύλλο1!AZ61</f>
        <v/>
      </c>
      <c r="S25" s="110"/>
      <c r="T25" s="120"/>
      <c r="U25" s="110"/>
      <c r="V25" s="113" t="s">
        <v>3420</v>
      </c>
      <c r="W25" s="347">
        <f ca="1">AM42</f>
        <v>20</v>
      </c>
      <c r="X25" s="98"/>
      <c r="Y25" s="98"/>
      <c r="Z25" s="98"/>
    </row>
    <row r="26" spans="4:39">
      <c r="D26" s="98"/>
      <c r="E26" s="98"/>
      <c r="F26" s="98"/>
      <c r="G26" s="102" t="str">
        <f>Φύλλο1!AN62</f>
        <v>α Λύρας. Βέγας</v>
      </c>
      <c r="H26" s="105"/>
      <c r="I26" s="7"/>
      <c r="J26" s="7"/>
      <c r="K26" s="7"/>
      <c r="L26" s="7"/>
      <c r="M26" s="132" t="s">
        <v>3421</v>
      </c>
      <c r="N26" s="242"/>
      <c r="O26" s="358" t="s">
        <v>3419</v>
      </c>
      <c r="P26" s="105" t="str">
        <f>Φύλλο1!AV62</f>
        <v xml:space="preserve">Μ57 Πλανητικό Νεφέλωμα Ευρυδίκη </v>
      </c>
      <c r="Q26" s="7"/>
      <c r="R26" s="7"/>
      <c r="S26" s="7"/>
      <c r="T26" s="7"/>
      <c r="U26" s="7"/>
      <c r="V26" s="7"/>
      <c r="W26" s="106"/>
      <c r="X26" s="98"/>
      <c r="Y26" s="98"/>
      <c r="Z26" s="98"/>
    </row>
    <row r="27" spans="4:39">
      <c r="D27" s="98"/>
      <c r="E27" s="98"/>
      <c r="F27" s="98"/>
      <c r="G27" s="102" t="str">
        <f>Φύλλο1!AN63</f>
        <v>α Lyra.Vega</v>
      </c>
      <c r="H27" s="105"/>
      <c r="I27" s="7"/>
      <c r="J27" s="7"/>
      <c r="K27" s="7"/>
      <c r="L27" s="7"/>
      <c r="M27" s="132" t="s">
        <v>3422</v>
      </c>
      <c r="N27" s="242" t="s">
        <v>3415</v>
      </c>
      <c r="O27" s="7"/>
      <c r="P27" s="105" t="str">
        <f ca="1">Φύλλο1!AV63</f>
        <v>Δακτυλιοειδές. 2.300 LY</v>
      </c>
      <c r="Q27" s="7"/>
      <c r="R27" s="7"/>
      <c r="S27" s="7"/>
      <c r="T27" s="7"/>
      <c r="U27" s="7"/>
      <c r="V27" s="7"/>
      <c r="W27" s="106"/>
      <c r="X27" s="98"/>
      <c r="Y27" s="98"/>
      <c r="Z27" s="98"/>
    </row>
    <row r="28" spans="4:39">
      <c r="D28" s="98"/>
      <c r="E28" s="98"/>
      <c r="F28" s="98"/>
      <c r="G28" s="133" t="s">
        <v>2712</v>
      </c>
      <c r="H28" s="132"/>
      <c r="I28" s="7"/>
      <c r="J28" s="66" t="str">
        <f>Φύλλο1!AP65</f>
        <v/>
      </c>
      <c r="K28" s="66"/>
      <c r="L28" s="7"/>
      <c r="M28" s="7"/>
      <c r="N28" s="7"/>
      <c r="O28" s="7"/>
      <c r="P28" s="66" t="str">
        <f ca="1">Φύλλο3!V71</f>
        <v/>
      </c>
      <c r="Q28" s="7"/>
      <c r="R28" s="7"/>
      <c r="S28" s="7"/>
      <c r="T28" s="7"/>
      <c r="U28" s="7"/>
      <c r="V28" s="7"/>
      <c r="W28" s="106"/>
      <c r="X28" s="98"/>
      <c r="Y28" s="98"/>
      <c r="Z28" s="98"/>
    </row>
    <row r="29" spans="4:39">
      <c r="D29" s="98"/>
      <c r="E29" s="98"/>
      <c r="F29" s="98"/>
      <c r="G29" s="133" t="s">
        <v>2713</v>
      </c>
      <c r="H29" s="132"/>
      <c r="I29" s="7"/>
      <c r="J29" s="66" t="str">
        <f>Φύλλο1!AP64</f>
        <v/>
      </c>
      <c r="K29" s="66"/>
      <c r="L29" s="7"/>
      <c r="M29" s="7"/>
      <c r="N29" s="7"/>
      <c r="O29" s="7"/>
      <c r="P29" s="7"/>
      <c r="Q29" s="7"/>
      <c r="R29" s="103" t="s">
        <v>2839</v>
      </c>
      <c r="S29" s="7"/>
      <c r="T29" s="7"/>
      <c r="U29" s="7"/>
      <c r="V29" s="7"/>
      <c r="W29" s="106"/>
      <c r="X29" s="98"/>
      <c r="Y29" s="98"/>
      <c r="Z29" s="98"/>
    </row>
    <row r="30" spans="4:39" ht="18.75">
      <c r="D30" s="98"/>
      <c r="E30" s="98"/>
      <c r="F30" s="98"/>
      <c r="G30" s="134"/>
      <c r="H30" s="108"/>
      <c r="I30" s="135" t="s">
        <v>4115</v>
      </c>
      <c r="J30" s="136" t="str">
        <f>Φύλλο1!AP66</f>
        <v>CrB</v>
      </c>
      <c r="K30" s="108"/>
      <c r="L30" s="137" t="str">
        <f>Φύλλο1!AR66</f>
        <v>Βόρειος Στέφανος</v>
      </c>
      <c r="M30" s="108"/>
      <c r="N30" s="108"/>
      <c r="O30" s="108"/>
      <c r="P30" s="138" t="str">
        <f>Φύλλο1!AV66</f>
        <v>Corona Borealis</v>
      </c>
      <c r="Q30" s="108"/>
      <c r="R30" s="139" t="str">
        <f>Φύλλο1!AX66</f>
        <v>(7)α</v>
      </c>
      <c r="S30" s="108"/>
      <c r="T30" s="108"/>
      <c r="U30" s="108"/>
      <c r="V30" s="108"/>
      <c r="W30" s="111"/>
      <c r="X30" s="98"/>
      <c r="Y30" s="98"/>
      <c r="Z30" s="98"/>
    </row>
    <row r="31" spans="4:39">
      <c r="D31" s="98"/>
      <c r="E31" s="98"/>
      <c r="F31" s="98"/>
      <c r="G31" s="17"/>
      <c r="H31" s="7"/>
      <c r="I31" s="7"/>
      <c r="J31" s="7"/>
      <c r="K31" s="66" t="str">
        <f ca="1">Φύλλο3!V72</f>
        <v/>
      </c>
      <c r="L31" s="7"/>
      <c r="M31" s="7"/>
      <c r="N31" s="7"/>
      <c r="O31" s="7"/>
      <c r="P31" s="7"/>
      <c r="Q31" s="7"/>
      <c r="R31" s="7"/>
      <c r="S31" s="7"/>
      <c r="T31" s="7"/>
      <c r="U31" s="7"/>
      <c r="V31" s="7"/>
      <c r="W31" s="106"/>
      <c r="X31" s="98"/>
      <c r="Y31" s="98"/>
      <c r="Z31" s="98"/>
    </row>
    <row r="32" spans="4:39">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L32" s="357"/>
    </row>
    <row r="33" spans="4:47">
      <c r="D33" s="140"/>
      <c r="E33" s="140"/>
      <c r="F33" s="140"/>
      <c r="G33" s="140"/>
      <c r="H33" s="140"/>
      <c r="I33" s="140"/>
      <c r="J33" s="140"/>
      <c r="K33" s="140"/>
      <c r="L33" s="140"/>
      <c r="M33" s="140"/>
      <c r="N33" s="140"/>
      <c r="O33" s="140"/>
      <c r="P33" s="140"/>
      <c r="Q33" s="140"/>
      <c r="R33" s="140"/>
      <c r="S33" s="140"/>
      <c r="T33" s="140"/>
      <c r="U33" s="140"/>
      <c r="V33" s="140"/>
      <c r="W33" s="140"/>
      <c r="X33" s="140"/>
      <c r="Y33" s="140"/>
      <c r="Z33" s="140"/>
    </row>
    <row r="34" spans="4:47">
      <c r="D34" s="140"/>
      <c r="E34" s="140"/>
      <c r="F34" s="140"/>
      <c r="G34" s="140"/>
      <c r="H34" s="140"/>
      <c r="I34" s="140"/>
      <c r="J34" s="140"/>
      <c r="K34" s="140"/>
      <c r="L34" s="140"/>
      <c r="M34" s="140"/>
      <c r="N34" s="140"/>
      <c r="O34" s="140"/>
      <c r="P34" s="140"/>
      <c r="Q34" s="140"/>
      <c r="R34" s="140"/>
      <c r="S34" s="140"/>
      <c r="T34" s="140"/>
      <c r="U34" s="140"/>
      <c r="V34" s="140"/>
      <c r="W34" s="140"/>
      <c r="X34" s="140"/>
      <c r="Y34" s="140"/>
      <c r="Z34" s="140"/>
    </row>
    <row r="35" spans="4:47">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K35" s="63" t="s">
        <v>3418</v>
      </c>
      <c r="AN35" s="1" t="s">
        <v>3736</v>
      </c>
      <c r="AQ35" s="522">
        <f ca="1">Φύλλο3!V69</f>
        <v>0</v>
      </c>
    </row>
    <row r="36" spans="4:47">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L36" s="356">
        <f ca="1">NOW()</f>
        <v>43864.749541087964</v>
      </c>
    </row>
    <row r="37" spans="4:47">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K37" s="1" t="s">
        <v>2762</v>
      </c>
      <c r="AL37" s="1">
        <f ca="1">YEAR(AL36)</f>
        <v>2020</v>
      </c>
    </row>
    <row r="38" spans="4:47">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K38" s="1" t="s">
        <v>3403</v>
      </c>
      <c r="AL38" s="1">
        <f ca="1">MONTH(AL36)</f>
        <v>2</v>
      </c>
    </row>
    <row r="39" spans="4:47">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K39" s="1" t="s">
        <v>3417</v>
      </c>
      <c r="AL39" s="1">
        <f ca="1">DAY(AL36)</f>
        <v>3</v>
      </c>
    </row>
    <row r="40" spans="4:47">
      <c r="D40" s="140"/>
      <c r="E40" s="140"/>
      <c r="F40" s="140"/>
      <c r="G40" s="141"/>
      <c r="H40" s="141"/>
      <c r="I40" s="140"/>
      <c r="J40" s="140"/>
      <c r="K40" s="140"/>
      <c r="L40" s="140"/>
      <c r="M40" s="140"/>
      <c r="N40" s="140"/>
      <c r="O40" s="140"/>
      <c r="P40" s="141"/>
      <c r="Q40" s="140"/>
      <c r="R40" s="140"/>
      <c r="S40" s="141"/>
      <c r="T40" s="140"/>
      <c r="U40" s="140"/>
      <c r="V40" s="140"/>
      <c r="W40" s="140"/>
      <c r="X40" s="140"/>
      <c r="Y40" s="140"/>
      <c r="Z40" s="140"/>
      <c r="AK40" s="1" t="s">
        <v>3404</v>
      </c>
      <c r="AL40" s="1">
        <f ca="1">HOUR(AL36)</f>
        <v>17</v>
      </c>
      <c r="AM40" s="61">
        <f ca="1">IF(AN42=0,AL40,"")</f>
        <v>17</v>
      </c>
    </row>
    <row r="41" spans="4:47">
      <c r="D41" s="61"/>
      <c r="E41" s="61"/>
      <c r="F41" s="61"/>
      <c r="G41" s="142"/>
      <c r="H41" s="142"/>
      <c r="I41" s="143"/>
      <c r="J41" s="144"/>
      <c r="K41" s="69"/>
      <c r="L41" s="69"/>
      <c r="M41" s="69"/>
      <c r="N41" s="145"/>
      <c r="O41" s="143"/>
      <c r="P41" s="142"/>
      <c r="Q41" s="69"/>
      <c r="R41" s="69"/>
      <c r="S41" s="69"/>
      <c r="T41" s="69"/>
      <c r="U41" s="146"/>
      <c r="V41" s="69"/>
      <c r="W41" s="69"/>
      <c r="X41" s="61"/>
      <c r="Y41" s="61"/>
      <c r="Z41" s="61"/>
      <c r="AE41" s="63" t="s">
        <v>2714</v>
      </c>
      <c r="AK41" s="1" t="s">
        <v>10</v>
      </c>
      <c r="AL41" s="1">
        <f ca="1">MINUTE(AL36)</f>
        <v>59</v>
      </c>
      <c r="AM41" s="61">
        <f ca="1">IF(AN42=0,AL41,"")</f>
        <v>59</v>
      </c>
    </row>
    <row r="42" spans="4:47">
      <c r="D42" s="61"/>
      <c r="E42" s="61"/>
      <c r="F42" s="147"/>
      <c r="G42" s="148" t="str">
        <f>Φύλλο1!AN48</f>
        <v/>
      </c>
      <c r="H42" s="306"/>
      <c r="I42" s="149"/>
      <c r="J42" s="149"/>
      <c r="K42" s="150"/>
      <c r="L42" s="150"/>
      <c r="M42" s="151"/>
      <c r="N42" s="152" t="s">
        <v>2715</v>
      </c>
      <c r="O42" s="337"/>
      <c r="P42" s="360"/>
      <c r="Q42" s="306" t="str">
        <f>Φύλλο1!AV48</f>
        <v/>
      </c>
      <c r="R42" s="150"/>
      <c r="S42" s="150"/>
      <c r="T42" s="150"/>
      <c r="U42" s="150"/>
      <c r="V42" s="150"/>
      <c r="W42" s="155"/>
      <c r="X42" s="156"/>
      <c r="Y42" s="61"/>
      <c r="Z42" s="61"/>
      <c r="AK42" s="1" t="s">
        <v>2731</v>
      </c>
      <c r="AL42" s="1">
        <f ca="1">SECOND(AL36)</f>
        <v>20</v>
      </c>
      <c r="AM42" s="147">
        <f ca="1">IF(AN42=0,AL42,"")</f>
        <v>20</v>
      </c>
      <c r="AN42" s="526">
        <f ca="1">Φύλλο3!V70</f>
        <v>0</v>
      </c>
    </row>
    <row r="43" spans="4:47">
      <c r="D43" s="61"/>
      <c r="E43" s="61"/>
      <c r="F43" s="147"/>
      <c r="G43" s="157" t="str">
        <f>Φύλλο1!AN49</f>
        <v/>
      </c>
      <c r="H43" s="575"/>
      <c r="I43" s="158"/>
      <c r="J43" s="158"/>
      <c r="K43" s="159"/>
      <c r="L43" s="159"/>
      <c r="M43" s="160"/>
      <c r="N43" s="161" t="str">
        <f>IF(AF47=2,"Ενεργή Οθόνη","Αδρανής Οθόνη")</f>
        <v>Αδρανής Οθόνη</v>
      </c>
      <c r="O43" s="338"/>
      <c r="P43" s="361"/>
      <c r="Q43" s="550" t="str">
        <f>Φύλλο1!AV49</f>
        <v/>
      </c>
      <c r="R43" s="159"/>
      <c r="S43" s="159"/>
      <c r="T43" s="159"/>
      <c r="U43" s="159"/>
      <c r="V43" s="159"/>
      <c r="W43" s="164"/>
      <c r="X43" s="156"/>
      <c r="Y43" s="61"/>
      <c r="Z43" s="61"/>
      <c r="AE43" s="1" t="s">
        <v>2678</v>
      </c>
      <c r="AF43" s="68">
        <f>J69</f>
        <v>1</v>
      </c>
    </row>
    <row r="44" spans="4:47" ht="18.75">
      <c r="D44" s="61"/>
      <c r="E44" s="61"/>
      <c r="F44" s="147"/>
      <c r="G44" s="165" t="s">
        <v>2716</v>
      </c>
      <c r="H44" s="576"/>
      <c r="I44" s="153"/>
      <c r="J44" s="153"/>
      <c r="K44" s="166" t="s">
        <v>2717</v>
      </c>
      <c r="L44" s="167"/>
      <c r="M44" s="167"/>
      <c r="N44" s="70"/>
      <c r="O44" s="168"/>
      <c r="P44" s="191"/>
      <c r="Q44" s="588"/>
      <c r="R44" s="349" t="s">
        <v>2718</v>
      </c>
      <c r="S44" s="167"/>
      <c r="T44" s="167"/>
      <c r="U44" s="169"/>
      <c r="V44" s="169"/>
      <c r="W44" s="154"/>
      <c r="X44" s="156"/>
      <c r="Y44" s="61"/>
      <c r="Z44" s="61"/>
      <c r="AD44" s="1" t="s">
        <v>2679</v>
      </c>
      <c r="AF44" s="1" t="b">
        <f>ISNUMBER(AF43)</f>
        <v>1</v>
      </c>
      <c r="AG44" s="1" t="b">
        <v>0</v>
      </c>
    </row>
    <row r="45" spans="4:47">
      <c r="D45" s="61"/>
      <c r="E45" s="61"/>
      <c r="F45" s="147"/>
      <c r="G45" s="170" t="s">
        <v>3391</v>
      </c>
      <c r="H45" s="577"/>
      <c r="I45" s="62"/>
      <c r="J45" s="171"/>
      <c r="K45" s="172">
        <f ca="1">Φύλλο1!AQ51</f>
        <v>18</v>
      </c>
      <c r="L45" s="173">
        <f ca="1">Φύλλο1!AR51</f>
        <v>37</v>
      </c>
      <c r="M45" s="305">
        <f ca="1">Φύλλο1!AS51</f>
        <v>36.625611642306239</v>
      </c>
      <c r="N45" s="174" t="s">
        <v>2704</v>
      </c>
      <c r="O45" s="143"/>
      <c r="P45" s="175"/>
      <c r="Q45" s="551"/>
      <c r="R45" s="172">
        <f ca="1">Φύλλο1!AX51</f>
        <v>18</v>
      </c>
      <c r="S45" s="173">
        <f ca="1">Φύλλο1!AY51</f>
        <v>54</v>
      </c>
      <c r="T45" s="305">
        <f ca="1">Φύλλο1!AZ51</f>
        <v>19.71088496131074</v>
      </c>
      <c r="U45" s="156"/>
      <c r="V45" s="61"/>
      <c r="W45" s="176"/>
      <c r="X45" s="156"/>
      <c r="Y45" s="61"/>
      <c r="Z45" s="61"/>
      <c r="AF45" s="1">
        <f>IF(AF44=AG44,0,AF43)</f>
        <v>1</v>
      </c>
      <c r="AK45" s="1" t="s">
        <v>3409</v>
      </c>
      <c r="AL45" s="274">
        <f>AF47</f>
        <v>1</v>
      </c>
    </row>
    <row r="46" spans="4:47">
      <c r="D46" s="61"/>
      <c r="E46" s="61"/>
      <c r="F46" s="147"/>
      <c r="G46" s="170" t="s">
        <v>3392</v>
      </c>
      <c r="H46" s="578"/>
      <c r="I46" s="60"/>
      <c r="J46" s="177" t="str">
        <f>Φύλλο1!AP52</f>
        <v/>
      </c>
      <c r="K46" s="70"/>
      <c r="L46" s="70"/>
      <c r="M46" s="178" t="str">
        <f>Φύλλο1!AS52</f>
        <v/>
      </c>
      <c r="N46" s="179" t="s">
        <v>2705</v>
      </c>
      <c r="O46" s="153"/>
      <c r="P46" s="180">
        <f ca="1">Φύλλο1!AV52</f>
        <v>-16.718087888650075</v>
      </c>
      <c r="Q46" s="181" t="str">
        <f>Φύλλο1!AW52</f>
        <v/>
      </c>
      <c r="R46" s="182" t="str">
        <f>Φύλλο1!AZ52</f>
        <v/>
      </c>
      <c r="S46" s="345" t="s">
        <v>3405</v>
      </c>
      <c r="T46" s="345"/>
      <c r="U46" s="210" t="str">
        <f ca="1">U16</f>
        <v xml:space="preserve">Δυτικά </v>
      </c>
      <c r="V46" s="210"/>
      <c r="W46" s="350"/>
      <c r="X46" s="156"/>
      <c r="Y46" s="61"/>
      <c r="Z46" s="61"/>
      <c r="AF46" s="1">
        <f>IF(AF45&lt;1,0,AF45)</f>
        <v>1</v>
      </c>
      <c r="AK46" s="1" t="s">
        <v>3408</v>
      </c>
      <c r="AL46" s="353">
        <f>IF(AL45=2,2,1)</f>
        <v>1</v>
      </c>
      <c r="AM46" s="1" t="s">
        <v>2670</v>
      </c>
      <c r="AN46" s="1" t="s">
        <v>3411</v>
      </c>
      <c r="AO46" s="1" t="s">
        <v>3410</v>
      </c>
      <c r="AP46" s="1" t="s">
        <v>3403</v>
      </c>
      <c r="AQ46" s="1" t="s">
        <v>3412</v>
      </c>
      <c r="AR46" s="1" t="s">
        <v>3404</v>
      </c>
      <c r="AS46" s="1" t="s">
        <v>2810</v>
      </c>
      <c r="AT46" s="1" t="s">
        <v>3423</v>
      </c>
      <c r="AU46" s="1" t="s">
        <v>3416</v>
      </c>
    </row>
    <row r="47" spans="4:47" ht="18.75">
      <c r="D47" s="61"/>
      <c r="E47" s="61"/>
      <c r="F47" s="147"/>
      <c r="G47" s="170" t="s">
        <v>2724</v>
      </c>
      <c r="H47" s="577"/>
      <c r="I47" s="86"/>
      <c r="J47" s="177" t="str">
        <f>Φύλλο1!AP53</f>
        <v/>
      </c>
      <c r="K47" s="61"/>
      <c r="L47" s="61"/>
      <c r="M47" s="183" t="str">
        <f>Φύλλο1!AS53</f>
        <v/>
      </c>
      <c r="N47" s="184" t="str">
        <f ca="1">Φύλλο1!AT53</f>
        <v>ΑΝΑΤΟΛΙΚΑ</v>
      </c>
      <c r="O47" s="60"/>
      <c r="P47" s="176"/>
      <c r="Q47" s="185" t="str">
        <f>Φύλλο1!AW53</f>
        <v/>
      </c>
      <c r="R47" s="177" t="str">
        <f>Φύλλο1!AZ53</f>
        <v/>
      </c>
      <c r="S47" s="210" t="s">
        <v>3406</v>
      </c>
      <c r="T47" s="210"/>
      <c r="U47" s="210"/>
      <c r="V47" s="210">
        <f ca="1">U17</f>
        <v>7</v>
      </c>
      <c r="W47" s="350">
        <f ca="1">V17</f>
        <v>33</v>
      </c>
      <c r="X47" s="156"/>
      <c r="Y47" s="61"/>
      <c r="Z47" s="61"/>
      <c r="AF47" s="82">
        <f>IF(AF46&gt;4,0,AF45)</f>
        <v>1</v>
      </c>
      <c r="AK47" s="1" t="s">
        <v>3413</v>
      </c>
      <c r="AL47" s="69">
        <v>1</v>
      </c>
      <c r="AM47" s="69">
        <f ca="1">AL37</f>
        <v>2020</v>
      </c>
      <c r="AN47" s="69">
        <f>Φύλλο3!K21</f>
        <v>0</v>
      </c>
      <c r="AO47" s="69">
        <f>Φύλλο3!K22</f>
        <v>23.907699999999998</v>
      </c>
      <c r="AP47" s="69">
        <f ca="1">AL38</f>
        <v>2</v>
      </c>
      <c r="AQ47" s="69">
        <f ca="1">AL39</f>
        <v>3</v>
      </c>
      <c r="AR47" s="69">
        <f ca="1">AL40</f>
        <v>17</v>
      </c>
      <c r="AS47" s="69">
        <f ca="1">AL41</f>
        <v>59</v>
      </c>
      <c r="AT47" s="69">
        <f ca="1">AL42</f>
        <v>20</v>
      </c>
      <c r="AU47" s="61">
        <f>Φύλλο1!BF74</f>
        <v>18.893083333333333</v>
      </c>
    </row>
    <row r="48" spans="4:47" ht="18.75">
      <c r="D48" s="61"/>
      <c r="E48" s="61"/>
      <c r="F48" s="147"/>
      <c r="G48" s="186" t="s">
        <v>2706</v>
      </c>
      <c r="H48" s="579"/>
      <c r="I48" s="65"/>
      <c r="J48" s="177" t="str">
        <f>Φύλλο1!AP54</f>
        <v/>
      </c>
      <c r="K48" s="61"/>
      <c r="L48" s="61"/>
      <c r="M48" s="183" t="str">
        <f>Φύλλο1!AS54</f>
        <v/>
      </c>
      <c r="N48" s="187" t="s">
        <v>2707</v>
      </c>
      <c r="O48" s="158"/>
      <c r="P48" s="304">
        <f ca="1">Φύλλο1!AV54</f>
        <v>-1.6718087888650075</v>
      </c>
      <c r="Q48" s="185" t="str">
        <f>Φύλλο1!AW54</f>
        <v/>
      </c>
      <c r="R48" s="177" t="str">
        <f>Φύλλο1!AZ54</f>
        <v/>
      </c>
      <c r="S48" s="210" t="str">
        <f ca="1">S18</f>
        <v/>
      </c>
      <c r="T48" s="351" t="str">
        <f ca="1">T18</f>
        <v/>
      </c>
      <c r="U48" s="351" t="str">
        <f ca="1">U18</f>
        <v/>
      </c>
      <c r="V48" s="210"/>
      <c r="W48" s="350"/>
      <c r="X48" s="156"/>
      <c r="Y48" s="61"/>
      <c r="Z48" s="61"/>
      <c r="AF48" s="88" t="str">
        <f>IF(AF47=0,"Πληκτρολογήστε από το 1 έως το 4 ","Μην γράφεται εδώ")</f>
        <v>Μην γράφεται εδώ</v>
      </c>
      <c r="AK48" s="1" t="s">
        <v>3414</v>
      </c>
      <c r="AL48" s="70">
        <v>2</v>
      </c>
      <c r="AM48" s="70">
        <f>Q44</f>
        <v>0</v>
      </c>
      <c r="AN48" s="70">
        <f>Φύλλο3!K69</f>
        <v>0</v>
      </c>
      <c r="AO48" s="70">
        <f>Φύλλο3!K70</f>
        <v>23.945799999999998</v>
      </c>
      <c r="AP48" s="70">
        <f t="shared" ref="AP48:AS49" ca="1" si="0">AP47</f>
        <v>2</v>
      </c>
      <c r="AQ48" s="70">
        <f t="shared" ca="1" si="0"/>
        <v>3</v>
      </c>
      <c r="AR48" s="70">
        <f t="shared" ca="1" si="0"/>
        <v>17</v>
      </c>
      <c r="AS48" s="70">
        <f t="shared" ca="1" si="0"/>
        <v>59</v>
      </c>
      <c r="AT48" s="70">
        <f ca="1">AT47</f>
        <v>20</v>
      </c>
      <c r="AU48" s="61">
        <f>Φύλλο1!BF74</f>
        <v>18.893083333333333</v>
      </c>
    </row>
    <row r="49" spans="4:48" ht="18.75">
      <c r="D49" s="61"/>
      <c r="E49" s="61"/>
      <c r="F49" s="147"/>
      <c r="G49" s="583" t="str">
        <f ca="1">G19</f>
        <v/>
      </c>
      <c r="H49" s="584" t="str">
        <f ca="1">H19</f>
        <v/>
      </c>
      <c r="I49" s="65"/>
      <c r="J49" s="60"/>
      <c r="K49" s="145" t="s">
        <v>2719</v>
      </c>
      <c r="L49" s="69"/>
      <c r="M49" s="69"/>
      <c r="N49" s="70"/>
      <c r="O49" s="168"/>
      <c r="P49" s="70"/>
      <c r="Q49" s="188" t="s">
        <v>2720</v>
      </c>
      <c r="R49" s="69"/>
      <c r="S49" s="69"/>
      <c r="T49" s="69"/>
      <c r="U49" s="210" t="str">
        <f ca="1">U19</f>
        <v/>
      </c>
      <c r="V49" s="61"/>
      <c r="W49" s="176"/>
      <c r="X49" s="156"/>
      <c r="Y49" s="61"/>
      <c r="Z49" s="61"/>
      <c r="AK49" s="1" t="s">
        <v>2672</v>
      </c>
      <c r="AL49" s="86"/>
      <c r="AM49" s="91">
        <f ca="1">AM47</f>
        <v>2020</v>
      </c>
      <c r="AN49" s="91">
        <f>LOOKUP(AL46,(AL47:AL48),(AN47:AN48))</f>
        <v>0</v>
      </c>
      <c r="AO49" s="91">
        <f>LOOKUP(AL46,(AL47:AL48),(AO47:AO48))</f>
        <v>23.907699999999998</v>
      </c>
      <c r="AP49" s="91">
        <f t="shared" ca="1" si="0"/>
        <v>2</v>
      </c>
      <c r="AQ49" s="91">
        <f t="shared" ca="1" si="0"/>
        <v>3</v>
      </c>
      <c r="AR49" s="91">
        <f t="shared" ca="1" si="0"/>
        <v>17</v>
      </c>
      <c r="AS49" s="91">
        <f t="shared" ca="1" si="0"/>
        <v>59</v>
      </c>
      <c r="AT49" s="91">
        <f ca="1">AT48</f>
        <v>20</v>
      </c>
      <c r="AU49" s="9">
        <f>LOOKUP(AL46,(AL47:AL48),(AU47:AU48))</f>
        <v>18.893083333333333</v>
      </c>
      <c r="AV49" s="256">
        <f>Φύλλο1!BH98</f>
        <v>0</v>
      </c>
    </row>
    <row r="50" spans="4:48">
      <c r="D50" s="61"/>
      <c r="E50" s="61"/>
      <c r="F50" s="147"/>
      <c r="G50" s="189"/>
      <c r="H50" s="156" t="str">
        <f ca="1">G20</f>
        <v/>
      </c>
      <c r="I50" s="60"/>
      <c r="J50" s="171"/>
      <c r="K50" s="172">
        <f ca="1">Φύλλο1!AQ56</f>
        <v>38</v>
      </c>
      <c r="L50" s="173">
        <f ca="1">Φύλλο1!AR56</f>
        <v>48</v>
      </c>
      <c r="M50" s="303">
        <f ca="1">Φύλλο1!AS56</f>
        <v>5.772530249479928</v>
      </c>
      <c r="N50" s="174" t="s">
        <v>2704</v>
      </c>
      <c r="O50" s="143"/>
      <c r="P50" s="69"/>
      <c r="Q50" s="147"/>
      <c r="R50" s="172">
        <f ca="1">Φύλλο1!AX56</f>
        <v>33</v>
      </c>
      <c r="S50" s="173">
        <f ca="1">Φύλλο1!AY56</f>
        <v>3</v>
      </c>
      <c r="T50" s="303">
        <f ca="1">Φύλλο1!AZ56</f>
        <v>18.308914428218941</v>
      </c>
      <c r="U50" s="156"/>
      <c r="V50" s="61"/>
      <c r="W50" s="176"/>
      <c r="X50" s="156"/>
      <c r="Y50" s="61"/>
      <c r="Z50" s="61"/>
    </row>
    <row r="51" spans="4:48">
      <c r="D51" s="61"/>
      <c r="E51" s="61"/>
      <c r="F51" s="147"/>
      <c r="G51" s="190" t="str">
        <f>Φύλλο1!AN57</f>
        <v/>
      </c>
      <c r="H51" s="185"/>
      <c r="I51" s="60"/>
      <c r="J51" s="60"/>
      <c r="K51" s="70" t="str">
        <f ca="1">K21</f>
        <v>Το ΑΠΟ</v>
      </c>
      <c r="L51" s="70"/>
      <c r="M51" s="191"/>
      <c r="N51" s="179" t="s">
        <v>12</v>
      </c>
      <c r="O51" s="153"/>
      <c r="P51" s="180">
        <f ca="1">Φύλλο1!AV57</f>
        <v>-5.7465176710614685</v>
      </c>
      <c r="Q51" s="185" t="str">
        <f>Φύλλο1!AW57</f>
        <v/>
      </c>
      <c r="R51" s="70"/>
      <c r="S51" s="70"/>
      <c r="T51" s="70"/>
      <c r="U51" s="61"/>
      <c r="V51" s="61"/>
      <c r="W51" s="176"/>
      <c r="X51" s="156"/>
      <c r="Y51" s="61"/>
      <c r="Z51" s="61"/>
    </row>
    <row r="52" spans="4:48" ht="18.75">
      <c r="D52" s="61"/>
      <c r="E52" s="61"/>
      <c r="F52" s="147"/>
      <c r="G52" s="190" t="str">
        <f>Φύλλο1!AN58</f>
        <v/>
      </c>
      <c r="H52" s="185"/>
      <c r="I52" s="60"/>
      <c r="J52" s="60"/>
      <c r="K52" s="61" t="str">
        <f ca="1">K22</f>
        <v xml:space="preserve">Δυτικά </v>
      </c>
      <c r="L52" s="61"/>
      <c r="M52" s="147"/>
      <c r="N52" s="184" t="str">
        <f ca="1">Φύλλο1!AT58</f>
        <v>ΝΟΤΙΑ</v>
      </c>
      <c r="O52" s="60"/>
      <c r="P52" s="176"/>
      <c r="Q52" s="185" t="str">
        <f>Φύλλο1!AW58</f>
        <v/>
      </c>
      <c r="R52" s="61"/>
      <c r="S52" s="61"/>
      <c r="T52" s="61"/>
      <c r="U52" s="61"/>
      <c r="V52" s="61" t="str">
        <f ca="1">V22</f>
        <v>Ώρα Ελλάδος</v>
      </c>
      <c r="W52" s="176"/>
      <c r="X52" s="156"/>
      <c r="Y52" s="61"/>
      <c r="Z52" s="61"/>
      <c r="AD52" s="68">
        <f>AF47</f>
        <v>1</v>
      </c>
      <c r="AE52" s="192" t="s">
        <v>2666</v>
      </c>
      <c r="AF52" s="193" t="s">
        <v>2667</v>
      </c>
      <c r="AG52" s="194" t="s">
        <v>2670</v>
      </c>
      <c r="AH52" s="194" t="s">
        <v>2721</v>
      </c>
    </row>
    <row r="53" spans="4:48" ht="18.75">
      <c r="D53" s="61"/>
      <c r="E53" s="61"/>
      <c r="F53" s="147"/>
      <c r="G53" s="190" t="str">
        <f>Φύλλο1!AP59</f>
        <v/>
      </c>
      <c r="H53" s="177"/>
      <c r="I53" s="60"/>
      <c r="J53" s="183" t="str">
        <f>Φύλλο1!AS59</f>
        <v/>
      </c>
      <c r="K53" s="61" t="str">
        <f ca="1">K23</f>
        <v>Ωριαία γωνία</v>
      </c>
      <c r="L53" s="61"/>
      <c r="M53" s="61"/>
      <c r="N53" s="163" t="s">
        <v>2707</v>
      </c>
      <c r="O53" s="143"/>
      <c r="P53" s="304">
        <f ca="1">Φύλλο1!AV59</f>
        <v>-2.2986070684245874</v>
      </c>
      <c r="Q53" s="185" t="str">
        <f>Φύλλο1!AW59</f>
        <v/>
      </c>
      <c r="R53" s="61" t="str">
        <f>Φύλλο1!AZ59</f>
        <v/>
      </c>
      <c r="S53" s="61"/>
      <c r="T53" s="177"/>
      <c r="U53" s="61"/>
      <c r="V53" s="61" t="s">
        <v>3404</v>
      </c>
      <c r="W53" s="176">
        <f ca="1">AM40</f>
        <v>17</v>
      </c>
      <c r="X53" s="156"/>
      <c r="Y53" s="61"/>
      <c r="Z53" s="61"/>
      <c r="AD53" s="22">
        <v>0</v>
      </c>
      <c r="AE53" s="195"/>
      <c r="AF53" s="196"/>
      <c r="AG53" s="69"/>
      <c r="AH53" s="69"/>
    </row>
    <row r="54" spans="4:48" ht="18.75">
      <c r="D54" s="61"/>
      <c r="E54" s="61"/>
      <c r="F54" s="147"/>
      <c r="G54" s="190" t="str">
        <f>Φύλλο1!AP60</f>
        <v/>
      </c>
      <c r="H54" s="177"/>
      <c r="I54" s="60"/>
      <c r="J54" s="177" t="str">
        <f>Φύλλο1!AS60</f>
        <v/>
      </c>
      <c r="K54" s="61"/>
      <c r="L54" s="61">
        <f ca="1">L24</f>
        <v>7</v>
      </c>
      <c r="M54" s="61">
        <f ca="1">M24</f>
        <v>50</v>
      </c>
      <c r="N54" s="567" t="s">
        <v>2673</v>
      </c>
      <c r="O54" s="552"/>
      <c r="P54" s="197"/>
      <c r="Q54" s="177" t="str">
        <f>Φύλλο1!AW60</f>
        <v/>
      </c>
      <c r="R54" s="61" t="str">
        <f>Φύλλο1!AZ60</f>
        <v/>
      </c>
      <c r="S54" s="61"/>
      <c r="T54" s="177"/>
      <c r="U54" s="61"/>
      <c r="V54" s="61" t="s">
        <v>2810</v>
      </c>
      <c r="W54" s="176">
        <f ca="1">AM41</f>
        <v>59</v>
      </c>
      <c r="X54" s="156"/>
      <c r="Y54" s="61"/>
      <c r="Z54" s="61"/>
      <c r="AD54" s="42">
        <v>1</v>
      </c>
      <c r="AE54" s="42" t="str">
        <f>O24</f>
        <v>α lyr</v>
      </c>
      <c r="AF54" s="42" t="str">
        <f>O25</f>
        <v>m 57</v>
      </c>
      <c r="AG54" s="42">
        <f ca="1">AL37</f>
        <v>2020</v>
      </c>
      <c r="AH54" s="42" t="str">
        <f>I30</f>
        <v>Βόρειος στέφανος</v>
      </c>
    </row>
    <row r="55" spans="4:48" ht="18.75">
      <c r="D55" s="61"/>
      <c r="E55" s="61"/>
      <c r="F55" s="147"/>
      <c r="G55" s="585" t="str">
        <f>Φύλλο1!AP61</f>
        <v/>
      </c>
      <c r="H55" s="198"/>
      <c r="I55" s="158"/>
      <c r="J55" s="198" t="str">
        <f>Φύλλο1!AS61</f>
        <v/>
      </c>
      <c r="K55" s="159"/>
      <c r="L55" s="159"/>
      <c r="M55" s="159"/>
      <c r="N55" s="587" t="s">
        <v>2667</v>
      </c>
      <c r="O55" s="552"/>
      <c r="P55" s="163"/>
      <c r="Q55" s="198" t="str">
        <f>Φύλλο1!AW61</f>
        <v/>
      </c>
      <c r="R55" s="159" t="str">
        <f>Φύλλο1!AZ61</f>
        <v/>
      </c>
      <c r="S55" s="159"/>
      <c r="T55" s="198"/>
      <c r="U55" s="159"/>
      <c r="V55" s="159" t="s">
        <v>3420</v>
      </c>
      <c r="W55" s="199">
        <f ca="1">AM42</f>
        <v>20</v>
      </c>
      <c r="X55" s="156"/>
      <c r="Y55" s="61"/>
      <c r="Z55" s="61"/>
      <c r="AD55" s="42">
        <v>2</v>
      </c>
      <c r="AE55" s="42">
        <f>O54</f>
        <v>0</v>
      </c>
      <c r="AF55" s="42">
        <f>O55</f>
        <v>0</v>
      </c>
      <c r="AG55" s="42">
        <f ca="1">AL37</f>
        <v>2020</v>
      </c>
      <c r="AH55" s="42">
        <f>I60</f>
        <v>0</v>
      </c>
    </row>
    <row r="56" spans="4:48">
      <c r="D56" s="61"/>
      <c r="E56" s="61"/>
      <c r="F56" s="147"/>
      <c r="G56" s="586" t="str">
        <f>Φύλλο1!AN62</f>
        <v>α Λύρας. Βέγας</v>
      </c>
      <c r="H56" s="359"/>
      <c r="I56" s="168"/>
      <c r="J56" s="168"/>
      <c r="K56" s="70"/>
      <c r="L56" s="70"/>
      <c r="M56" s="70" t="s">
        <v>3421</v>
      </c>
      <c r="N56" s="191"/>
      <c r="O56" s="553" t="s">
        <v>3419</v>
      </c>
      <c r="P56" s="359" t="str">
        <f>Φύλλο1!AV62</f>
        <v xml:space="preserve">Μ57 Πλανητικό Νεφέλωμα Ευρυδίκη </v>
      </c>
      <c r="Q56" s="70"/>
      <c r="R56" s="70"/>
      <c r="S56" s="70"/>
      <c r="T56" s="70"/>
      <c r="U56" s="70"/>
      <c r="V56" s="70"/>
      <c r="W56" s="200"/>
      <c r="X56" s="156"/>
      <c r="Y56" s="61"/>
      <c r="Z56" s="61"/>
      <c r="AD56" s="42">
        <v>3</v>
      </c>
      <c r="AE56" s="42">
        <v>0</v>
      </c>
      <c r="AF56" s="42">
        <v>0</v>
      </c>
      <c r="AG56" s="42">
        <v>0</v>
      </c>
      <c r="AH56" s="42">
        <v>0</v>
      </c>
    </row>
    <row r="57" spans="4:48">
      <c r="D57" s="61"/>
      <c r="E57" s="61"/>
      <c r="F57" s="147"/>
      <c r="G57" s="201" t="str">
        <f>Φύλλο1!AN63</f>
        <v>α Lyra.Vega</v>
      </c>
      <c r="H57" s="580"/>
      <c r="I57" s="60"/>
      <c r="J57" s="60"/>
      <c r="K57" s="61"/>
      <c r="L57" s="61"/>
      <c r="M57" s="61" t="s">
        <v>3422</v>
      </c>
      <c r="N57" s="61" t="s">
        <v>3415</v>
      </c>
      <c r="O57" s="168"/>
      <c r="P57" s="202" t="str">
        <f ca="1">Φύλλο1!AV63</f>
        <v>Δακτυλιοειδές. 2.300 LY</v>
      </c>
      <c r="Q57" s="61"/>
      <c r="R57" s="61"/>
      <c r="S57" s="61"/>
      <c r="T57" s="61"/>
      <c r="U57" s="61"/>
      <c r="V57" s="61"/>
      <c r="W57" s="203"/>
      <c r="X57" s="156"/>
      <c r="Y57" s="61"/>
      <c r="Z57" s="61"/>
      <c r="AD57" s="70">
        <v>4</v>
      </c>
      <c r="AE57" s="70">
        <f>Φύλλο1!AP78</f>
        <v>0</v>
      </c>
      <c r="AF57" s="70">
        <f>Φύλλο1!AP79</f>
        <v>0</v>
      </c>
      <c r="AG57" s="70">
        <f>Φύλλο1!AP77</f>
        <v>2000</v>
      </c>
      <c r="AH57" s="70">
        <f>Φύλλο1!AP80</f>
        <v>0</v>
      </c>
    </row>
    <row r="58" spans="4:48">
      <c r="D58" s="61"/>
      <c r="E58" s="61"/>
      <c r="F58" s="147"/>
      <c r="G58" s="204" t="s">
        <v>2712</v>
      </c>
      <c r="H58" s="398"/>
      <c r="I58" s="143"/>
      <c r="J58" s="60" t="str">
        <f>Φύλλο1!AP65</f>
        <v/>
      </c>
      <c r="K58" s="177"/>
      <c r="L58" s="61"/>
      <c r="M58" s="61"/>
      <c r="N58" s="61"/>
      <c r="O58" s="60"/>
      <c r="P58" s="61" t="str">
        <f ca="1">P28</f>
        <v/>
      </c>
      <c r="Q58" s="61"/>
      <c r="R58" s="61"/>
      <c r="S58" s="61"/>
      <c r="T58" s="61"/>
      <c r="U58" s="61"/>
      <c r="V58" s="61"/>
      <c r="W58" s="203"/>
      <c r="X58" s="156"/>
      <c r="Y58" s="61"/>
      <c r="Z58" s="61"/>
      <c r="AC58" s="63" t="s">
        <v>2722</v>
      </c>
    </row>
    <row r="59" spans="4:48">
      <c r="D59" s="61"/>
      <c r="E59" s="61"/>
      <c r="F59" s="147"/>
      <c r="G59" s="205" t="s">
        <v>2713</v>
      </c>
      <c r="H59" s="581"/>
      <c r="I59" s="143"/>
      <c r="J59" s="206" t="str">
        <f>Φύλλο1!AP64</f>
        <v/>
      </c>
      <c r="K59" s="177"/>
      <c r="L59" s="61"/>
      <c r="M59" s="61"/>
      <c r="N59" s="61"/>
      <c r="O59" s="60"/>
      <c r="P59" s="61"/>
      <c r="Q59" s="61"/>
      <c r="R59" s="207" t="s">
        <v>2839</v>
      </c>
      <c r="S59" s="61"/>
      <c r="T59" s="61"/>
      <c r="U59" s="61"/>
      <c r="V59" s="61"/>
      <c r="W59" s="203"/>
      <c r="X59" s="156"/>
      <c r="Y59" s="61"/>
      <c r="Z59" s="61"/>
      <c r="AE59" s="192" t="s">
        <v>2666</v>
      </c>
      <c r="AF59" s="193" t="s">
        <v>2667</v>
      </c>
      <c r="AG59" s="194" t="s">
        <v>2670</v>
      </c>
      <c r="AH59" s="194" t="s">
        <v>2721</v>
      </c>
    </row>
    <row r="60" spans="4:48" ht="18.75">
      <c r="D60" s="61"/>
      <c r="E60" s="61"/>
      <c r="F60" s="147"/>
      <c r="G60" s="208"/>
      <c r="H60" s="589"/>
      <c r="I60" s="559"/>
      <c r="J60" s="209" t="str">
        <f>Φύλλο1!AP66</f>
        <v>CrB</v>
      </c>
      <c r="K60" s="61"/>
      <c r="L60" s="202" t="str">
        <f>Φύλλο1!AR66</f>
        <v>Βόρειος Στέφανος</v>
      </c>
      <c r="M60" s="61"/>
      <c r="N60" s="61"/>
      <c r="O60" s="60"/>
      <c r="P60" s="210" t="str">
        <f>Φύλλο1!AV66</f>
        <v>Corona Borealis</v>
      </c>
      <c r="Q60" s="61"/>
      <c r="R60" s="207" t="str">
        <f>Φύλλο1!AX66</f>
        <v>(7)α</v>
      </c>
      <c r="S60" s="61"/>
      <c r="T60" s="61"/>
      <c r="U60" s="61"/>
      <c r="V60" s="61"/>
      <c r="W60" s="203"/>
      <c r="X60" s="156"/>
      <c r="Y60" s="61"/>
      <c r="Z60" s="61"/>
      <c r="AE60" s="70" t="str">
        <f>LOOKUP(AD52,(AD53:AD57),(AE53:AE57))</f>
        <v>α lyr</v>
      </c>
      <c r="AF60" s="70" t="str">
        <f>LOOKUP(AD52,(AD53:AD57),(AF53:AF57))</f>
        <v>m 57</v>
      </c>
      <c r="AG60" s="61">
        <f ca="1">LOOKUP(AD52,(AD53:AD57),(AG53:AG57))</f>
        <v>2020</v>
      </c>
      <c r="AH60" s="61" t="str">
        <f>LOOKUP(AD52,(AD53:AD57),(AH53:AH57))</f>
        <v>Βόρειος στέφανος</v>
      </c>
    </row>
    <row r="61" spans="4:48">
      <c r="D61" s="61"/>
      <c r="E61" s="61"/>
      <c r="F61" s="147"/>
      <c r="G61" s="211"/>
      <c r="H61" s="582"/>
      <c r="I61" s="212"/>
      <c r="J61" s="162"/>
      <c r="K61" s="213" t="str">
        <f ca="1">Φύλλο3!V72</f>
        <v/>
      </c>
      <c r="L61" s="213"/>
      <c r="M61" s="213"/>
      <c r="N61" s="213"/>
      <c r="O61" s="162"/>
      <c r="P61" s="213"/>
      <c r="Q61" s="213"/>
      <c r="R61" s="213"/>
      <c r="S61" s="213"/>
      <c r="T61" s="213"/>
      <c r="U61" s="213"/>
      <c r="V61" s="213"/>
      <c r="W61" s="214"/>
      <c r="X61" s="156"/>
      <c r="Y61" s="61"/>
      <c r="Z61" s="61"/>
    </row>
    <row r="62" spans="4:48">
      <c r="D62" s="61"/>
      <c r="E62" s="61"/>
      <c r="F62" s="61"/>
      <c r="G62" s="70"/>
      <c r="H62" s="70"/>
      <c r="I62" s="70"/>
      <c r="J62" s="168"/>
      <c r="K62" s="70"/>
      <c r="L62" s="70"/>
      <c r="M62" s="70"/>
      <c r="N62" s="70"/>
      <c r="O62" s="70"/>
      <c r="P62" s="70"/>
      <c r="Q62" s="70"/>
      <c r="R62" s="70"/>
      <c r="S62" s="70"/>
      <c r="T62" s="70"/>
      <c r="U62" s="70"/>
      <c r="V62" s="70"/>
      <c r="W62" s="70"/>
      <c r="X62" s="61"/>
      <c r="Y62" s="61"/>
      <c r="Z62" s="61"/>
    </row>
    <row r="63" spans="4:48">
      <c r="D63" s="61"/>
      <c r="E63" s="61"/>
      <c r="F63" s="61"/>
      <c r="G63" s="61"/>
      <c r="H63" s="61"/>
      <c r="I63" s="61"/>
      <c r="J63" s="60"/>
      <c r="K63" s="61"/>
      <c r="L63" s="61"/>
      <c r="M63" s="61"/>
      <c r="N63" s="61"/>
      <c r="O63" s="61"/>
      <c r="P63" s="61"/>
      <c r="Q63" s="61"/>
      <c r="R63" s="61"/>
      <c r="S63" s="61"/>
      <c r="T63" s="61"/>
      <c r="U63" s="61"/>
      <c r="V63" s="61"/>
      <c r="W63" s="61"/>
      <c r="X63" s="61"/>
      <c r="Y63" s="61"/>
      <c r="Z63" s="61"/>
    </row>
    <row r="64" spans="4:48">
      <c r="D64" s="61"/>
      <c r="E64" s="61"/>
      <c r="F64" s="61"/>
      <c r="G64" s="61"/>
      <c r="H64" s="61"/>
      <c r="I64" s="61"/>
      <c r="J64" s="60"/>
      <c r="K64" s="61"/>
      <c r="L64" s="61"/>
      <c r="M64" s="61"/>
      <c r="N64" s="61"/>
      <c r="O64" s="61"/>
      <c r="P64" s="61"/>
      <c r="Q64" s="61"/>
      <c r="R64" s="61"/>
      <c r="S64" s="61"/>
      <c r="T64" s="61"/>
      <c r="U64" s="61"/>
      <c r="V64" s="61"/>
      <c r="W64" s="61"/>
      <c r="X64" s="61"/>
      <c r="Y64" s="61"/>
      <c r="Z64" s="61"/>
    </row>
    <row r="65" spans="4:26">
      <c r="D65" s="140"/>
      <c r="E65" s="140"/>
      <c r="F65" s="140"/>
      <c r="G65" s="140"/>
      <c r="H65" s="140"/>
      <c r="I65" s="215"/>
      <c r="J65" s="140"/>
      <c r="K65" s="140"/>
      <c r="L65" s="140"/>
      <c r="M65" s="140"/>
      <c r="N65" s="140"/>
      <c r="O65" s="140"/>
      <c r="P65" s="140"/>
      <c r="Q65" s="140"/>
      <c r="R65" s="140"/>
      <c r="S65" s="140"/>
      <c r="T65" s="140"/>
      <c r="U65" s="140"/>
      <c r="V65" s="140"/>
      <c r="W65" s="140"/>
      <c r="X65" s="140"/>
      <c r="Y65" s="140"/>
      <c r="Z65" s="140"/>
    </row>
    <row r="66" spans="4:26">
      <c r="D66" s="140"/>
      <c r="E66" s="140"/>
      <c r="F66" s="140"/>
      <c r="G66" s="140"/>
      <c r="H66" s="216"/>
      <c r="I66" s="554" t="s">
        <v>2723</v>
      </c>
      <c r="J66" s="216"/>
      <c r="K66" s="140"/>
      <c r="L66" s="140"/>
      <c r="M66" s="140"/>
      <c r="N66" s="140"/>
      <c r="O66" s="140"/>
      <c r="P66" s="140"/>
      <c r="Q66" s="140"/>
      <c r="R66" s="140"/>
      <c r="S66" s="140"/>
      <c r="T66" s="140"/>
      <c r="U66" s="140"/>
      <c r="V66" s="140"/>
      <c r="W66" s="140"/>
      <c r="X66" s="140"/>
      <c r="Y66" s="140"/>
      <c r="Z66" s="140"/>
    </row>
    <row r="67" spans="4:26">
      <c r="D67" s="140"/>
      <c r="E67" s="140"/>
      <c r="F67" s="140"/>
      <c r="G67" s="217"/>
      <c r="H67" s="590"/>
      <c r="I67" s="218" t="s">
        <v>3868</v>
      </c>
      <c r="J67" s="219"/>
      <c r="K67" s="220"/>
      <c r="L67" s="140"/>
      <c r="M67" s="140"/>
      <c r="N67" s="140"/>
      <c r="O67" s="140"/>
      <c r="P67" s="140"/>
      <c r="Q67" s="140"/>
      <c r="R67" s="140"/>
      <c r="S67" s="140"/>
      <c r="T67" s="140"/>
      <c r="U67" s="140"/>
      <c r="V67" s="140"/>
      <c r="W67" s="140"/>
      <c r="X67" s="140"/>
      <c r="Y67" s="140"/>
      <c r="Z67" s="140"/>
    </row>
    <row r="68" spans="4:26">
      <c r="D68" s="140"/>
      <c r="E68" s="140"/>
      <c r="F68" s="140"/>
      <c r="G68" s="217"/>
      <c r="H68" s="591"/>
      <c r="I68" s="221" t="s">
        <v>3869</v>
      </c>
      <c r="J68" s="222"/>
      <c r="K68" s="220"/>
      <c r="L68" s="140"/>
      <c r="M68" s="140"/>
      <c r="N68" s="140"/>
      <c r="O68" s="140"/>
      <c r="P68" s="140"/>
      <c r="Q68" s="140"/>
      <c r="R68" s="140"/>
      <c r="S68" s="140"/>
      <c r="T68" s="140"/>
      <c r="U68" s="140"/>
      <c r="V68" s="140"/>
      <c r="W68" s="140"/>
      <c r="X68" s="140"/>
      <c r="Y68" s="140"/>
      <c r="Z68" s="140"/>
    </row>
    <row r="69" spans="4:26">
      <c r="D69" s="140"/>
      <c r="E69" s="140"/>
      <c r="F69" s="140"/>
      <c r="G69" s="217"/>
      <c r="H69" s="591"/>
      <c r="I69" s="223"/>
      <c r="J69" s="555">
        <v>1</v>
      </c>
      <c r="K69" s="220"/>
      <c r="L69" s="140"/>
      <c r="M69" s="140"/>
      <c r="N69" s="225" t="str">
        <f>AF48</f>
        <v>Μην γράφεται εδώ</v>
      </c>
      <c r="O69" s="140"/>
      <c r="P69" s="140"/>
      <c r="Q69" s="140"/>
      <c r="R69" s="140"/>
      <c r="S69" s="140"/>
      <c r="T69" s="140"/>
      <c r="U69" s="140"/>
      <c r="V69" s="140"/>
      <c r="W69" s="140"/>
      <c r="X69" s="140"/>
      <c r="Y69" s="140"/>
      <c r="Z69" s="140"/>
    </row>
    <row r="70" spans="4:26">
      <c r="D70" s="140"/>
      <c r="E70" s="140"/>
      <c r="F70" s="140"/>
      <c r="G70" s="217"/>
      <c r="H70" s="592"/>
      <c r="I70" s="226" t="s">
        <v>3870</v>
      </c>
      <c r="J70" s="227"/>
      <c r="K70" s="220"/>
      <c r="L70" s="140"/>
      <c r="M70" s="140"/>
      <c r="N70" s="140"/>
      <c r="O70" s="140"/>
      <c r="P70" s="140"/>
      <c r="Q70" s="140"/>
      <c r="R70" s="140"/>
      <c r="S70" s="140"/>
      <c r="T70" s="140"/>
      <c r="U70" s="140"/>
      <c r="V70" s="140"/>
      <c r="W70" s="140"/>
      <c r="X70" s="140"/>
      <c r="Y70" s="140"/>
      <c r="Z70" s="140"/>
    </row>
    <row r="71" spans="4:26">
      <c r="D71" s="140"/>
      <c r="E71" s="140"/>
      <c r="F71" s="140"/>
      <c r="G71" s="140"/>
      <c r="H71" s="228"/>
      <c r="I71" s="228"/>
      <c r="J71" s="228"/>
      <c r="K71" s="140"/>
      <c r="L71" s="140"/>
      <c r="M71" s="140"/>
      <c r="N71" s="140"/>
      <c r="O71" s="140"/>
      <c r="P71" s="140"/>
      <c r="Q71" s="140"/>
      <c r="R71" s="140"/>
      <c r="S71" s="140"/>
      <c r="T71" s="140"/>
      <c r="U71" s="140"/>
      <c r="V71" s="140"/>
      <c r="W71" s="140"/>
      <c r="X71" s="140"/>
      <c r="Y71" s="140"/>
      <c r="Z71" s="140"/>
    </row>
    <row r="72" spans="4:26">
      <c r="D72" s="140"/>
      <c r="E72" s="140"/>
      <c r="F72" s="140"/>
      <c r="G72" s="140"/>
      <c r="H72" s="140"/>
      <c r="I72" s="140"/>
      <c r="J72" s="140"/>
      <c r="K72" s="140"/>
      <c r="L72" s="140"/>
      <c r="M72" s="140"/>
      <c r="N72" s="140"/>
      <c r="O72" s="140"/>
      <c r="P72" s="140"/>
      <c r="Q72" s="140"/>
      <c r="R72" s="140"/>
      <c r="S72" s="140"/>
      <c r="T72" s="140"/>
      <c r="U72" s="140"/>
      <c r="V72" s="140"/>
      <c r="W72" s="140"/>
      <c r="X72" s="140"/>
      <c r="Y72" s="140"/>
      <c r="Z72" s="140"/>
    </row>
    <row r="73" spans="4:26">
      <c r="D73" s="140"/>
      <c r="E73" s="140"/>
      <c r="F73" s="140"/>
      <c r="G73" s="140"/>
      <c r="H73" s="140"/>
      <c r="I73" s="140"/>
      <c r="J73" s="140"/>
      <c r="K73" s="140"/>
      <c r="L73" s="140"/>
      <c r="M73" s="140"/>
      <c r="N73" s="140"/>
      <c r="O73" s="140"/>
      <c r="P73" s="140"/>
      <c r="Q73" s="140"/>
      <c r="R73" s="140"/>
      <c r="S73" s="140"/>
      <c r="T73" s="140"/>
      <c r="U73" s="140"/>
      <c r="V73" s="140"/>
      <c r="W73" s="140"/>
      <c r="X73" s="140"/>
      <c r="Y73" s="140"/>
      <c r="Z73" s="140"/>
    </row>
    <row r="74" spans="4:26">
      <c r="D74" s="98"/>
      <c r="E74" s="98"/>
      <c r="F74" s="98"/>
      <c r="G74" s="98"/>
      <c r="H74" s="98"/>
      <c r="I74" s="98"/>
      <c r="J74" s="98"/>
      <c r="K74" s="98"/>
      <c r="L74" s="98"/>
      <c r="M74" s="98"/>
      <c r="N74" s="98"/>
      <c r="O74" s="98"/>
      <c r="P74" s="98"/>
      <c r="Q74" s="98"/>
      <c r="R74" s="98"/>
      <c r="S74" s="98"/>
      <c r="T74" s="98"/>
      <c r="U74" s="98"/>
      <c r="V74" s="98"/>
      <c r="W74" s="98"/>
      <c r="X74" s="98"/>
      <c r="Y74" s="98"/>
      <c r="Z74" s="98"/>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CP180"/>
  <sheetViews>
    <sheetView topLeftCell="D12" zoomScale="110" zoomScaleNormal="110" workbookViewId="0">
      <selection activeCell="K23" sqref="K23"/>
    </sheetView>
  </sheetViews>
  <sheetFormatPr defaultRowHeight="15"/>
  <cols>
    <col min="1" max="2" width="9.140625" style="1"/>
    <col min="3" max="3" width="4.5703125" style="1" customWidth="1"/>
    <col min="4" max="4" width="1.85546875" style="1" customWidth="1"/>
    <col min="5" max="5" width="1.140625" style="1" customWidth="1"/>
    <col min="6" max="6" width="4.5703125" style="1" customWidth="1"/>
    <col min="7" max="7" width="10.5703125" style="1" customWidth="1"/>
    <col min="8" max="8" width="3.140625" style="1" customWidth="1"/>
    <col min="9" max="9" width="12.140625" style="1" customWidth="1"/>
    <col min="10" max="10" width="15.28515625" style="1" customWidth="1"/>
    <col min="11" max="11" width="9.85546875" style="1" customWidth="1"/>
    <col min="12" max="12" width="30" style="1" customWidth="1"/>
    <col min="13" max="13" width="24.5703125" style="1" customWidth="1"/>
    <col min="14" max="14" width="8" style="1" customWidth="1"/>
    <col min="15" max="20" width="9.140625" style="1"/>
    <col min="21" max="21" width="45.7109375" style="1" customWidth="1"/>
    <col min="22" max="25" width="9.140625" style="1"/>
    <col min="26" max="26" width="27.140625" style="1" customWidth="1"/>
    <col min="27" max="29" width="9.140625" style="1"/>
    <col min="30" max="30" width="16.85546875" style="1" customWidth="1"/>
    <col min="31" max="31" width="9.5703125" style="1" customWidth="1"/>
    <col min="32" max="33" width="10.28515625" style="1" customWidth="1"/>
    <col min="34" max="34" width="14.42578125" style="1" customWidth="1"/>
    <col min="35" max="35" width="12.85546875" style="1" customWidth="1"/>
    <col min="36" max="36" width="13.140625" style="1" customWidth="1"/>
    <col min="37" max="37" width="12.42578125" style="1" customWidth="1"/>
    <col min="38" max="38" width="12.140625" style="1" customWidth="1"/>
    <col min="39" max="39" width="13.5703125" style="1" bestFit="1" customWidth="1"/>
    <col min="40" max="40" width="9.140625" style="1"/>
    <col min="41" max="41" width="33" style="1" customWidth="1"/>
    <col min="42" max="42" width="13.5703125" style="1" bestFit="1" customWidth="1"/>
    <col min="43" max="43" width="9.140625" style="1"/>
    <col min="44" max="44" width="46" style="1" customWidth="1"/>
    <col min="45" max="45" width="14.140625" style="1" customWidth="1"/>
    <col min="46" max="47" width="9.140625" style="1"/>
    <col min="48" max="48" width="3.7109375" style="1" customWidth="1"/>
    <col min="49" max="49" width="9.140625" style="1"/>
    <col min="50" max="50" width="36.42578125" style="1" customWidth="1"/>
    <col min="51" max="59" width="9.140625" style="1"/>
    <col min="60" max="60" width="3.42578125" style="1" customWidth="1"/>
    <col min="61" max="61" width="3.42578125" style="86" customWidth="1"/>
    <col min="62" max="62" width="49.28515625" style="86" customWidth="1"/>
    <col min="63" max="63" width="19.7109375" style="86" customWidth="1"/>
    <col min="65" max="65" width="14" style="1" customWidth="1"/>
    <col min="66" max="66" width="9.140625" style="1"/>
    <col min="67" max="67" width="10.140625" style="1" bestFit="1" customWidth="1"/>
    <col min="68" max="69" width="10.140625" style="1" customWidth="1"/>
    <col min="70" max="70" width="14.5703125" style="1" customWidth="1"/>
    <col min="71" max="71" width="14.5703125" style="71" customWidth="1"/>
    <col min="72" max="72" width="14.5703125" style="1" customWidth="1"/>
    <col min="73" max="73" width="9.85546875" style="1" customWidth="1"/>
    <col min="74" max="74" width="9.140625" style="1"/>
    <col min="75" max="75" width="11" style="1" customWidth="1"/>
    <col min="76" max="76" width="14" style="1" customWidth="1"/>
    <col min="77" max="77" width="9.140625" style="1"/>
    <col min="78" max="78" width="47.140625" style="1" customWidth="1"/>
    <col min="79" max="79" width="11.5703125" style="1" customWidth="1"/>
    <col min="80" max="80" width="9.140625" style="1"/>
    <col min="81" max="81" width="3.42578125" style="1" customWidth="1"/>
    <col min="82" max="92" width="9.140625" style="1"/>
    <col min="93" max="93" width="4" style="1" customWidth="1"/>
    <col min="94" max="94" width="9.140625" style="1"/>
  </cols>
  <sheetData>
    <row r="1" spans="1:93">
      <c r="U1" s="63" t="s">
        <v>2984</v>
      </c>
    </row>
    <row r="2" spans="1:93">
      <c r="AE2" s="63" t="s">
        <v>3424</v>
      </c>
    </row>
    <row r="3" spans="1:93">
      <c r="U3" s="363" t="s">
        <v>3425</v>
      </c>
      <c r="V3" s="61">
        <f ca="1">Φύλλο2!AM49</f>
        <v>2020</v>
      </c>
      <c r="AE3" s="1" t="s">
        <v>3426</v>
      </c>
      <c r="AF3" s="63"/>
      <c r="AG3" s="63"/>
      <c r="AH3" s="63"/>
      <c r="AI3" s="63"/>
    </row>
    <row r="4" spans="1:93">
      <c r="U4" s="30" t="s">
        <v>3427</v>
      </c>
      <c r="V4" s="364">
        <f>Φύλλο2!AO49</f>
        <v>23.907699999999998</v>
      </c>
      <c r="AE4" s="1" t="s">
        <v>3428</v>
      </c>
      <c r="AV4" s="271" t="s">
        <v>3429</v>
      </c>
      <c r="AW4" s="272"/>
      <c r="AX4" s="272"/>
      <c r="AY4" s="272"/>
      <c r="AZ4" s="272"/>
      <c r="BA4" s="272"/>
      <c r="BB4" s="272"/>
      <c r="BC4" s="272"/>
      <c r="BD4" s="272"/>
      <c r="BE4" s="272"/>
      <c r="BF4" s="272"/>
      <c r="BG4" s="272"/>
      <c r="BH4" s="273"/>
      <c r="BI4" s="365"/>
      <c r="BJ4" s="63" t="s">
        <v>3430</v>
      </c>
      <c r="BK4" s="1"/>
      <c r="BQ4" s="1" t="s">
        <v>3431</v>
      </c>
    </row>
    <row r="5" spans="1:93" ht="18.75">
      <c r="U5" s="30" t="s">
        <v>3432</v>
      </c>
      <c r="V5" s="61">
        <f ca="1">Φύλλο2!AP49</f>
        <v>2</v>
      </c>
      <c r="Y5" s="1" t="s">
        <v>3433</v>
      </c>
      <c r="AE5" s="1" t="s">
        <v>3434</v>
      </c>
      <c r="AV5" s="272"/>
      <c r="AW5" s="39"/>
      <c r="AX5" s="39" t="s">
        <v>2679</v>
      </c>
      <c r="AY5" s="39" t="b">
        <f ca="1">ISNUMBER(AW12)</f>
        <v>1</v>
      </c>
      <c r="AZ5" s="39"/>
      <c r="BA5" s="39" t="s">
        <v>2665</v>
      </c>
      <c r="BB5" s="68">
        <f ca="1">AY10</f>
        <v>18.467441244133386</v>
      </c>
      <c r="BC5" s="39"/>
      <c r="BD5" s="39"/>
      <c r="BE5" s="39" t="s">
        <v>2665</v>
      </c>
      <c r="BF5" s="68">
        <f ca="1">BD29</f>
        <v>28.046474648003183</v>
      </c>
      <c r="BG5" s="39"/>
      <c r="BH5" s="272"/>
      <c r="BJ5" s="1" t="s">
        <v>3435</v>
      </c>
      <c r="BK5" s="1"/>
      <c r="BQ5" s="1" t="s">
        <v>2665</v>
      </c>
      <c r="BR5" s="68">
        <f ca="1">V129</f>
        <v>2020</v>
      </c>
    </row>
    <row r="6" spans="1:93">
      <c r="U6" s="30" t="s">
        <v>3436</v>
      </c>
      <c r="V6" s="61">
        <f ca="1">Φύλλο2!AQ49</f>
        <v>3</v>
      </c>
      <c r="Y6" s="1" t="s">
        <v>3437</v>
      </c>
      <c r="AE6" s="1" t="s">
        <v>3438</v>
      </c>
      <c r="AV6" s="272"/>
      <c r="AW6" s="39"/>
      <c r="AX6" s="39" t="b">
        <v>0</v>
      </c>
      <c r="AY6" s="274">
        <f ca="1">IF(AY5=AX6,0,AW12)</f>
        <v>18.467441244133386</v>
      </c>
      <c r="AZ6" s="39"/>
      <c r="BA6" s="39">
        <v>90</v>
      </c>
      <c r="BB6" s="39">
        <f ca="1">IF(BA6&gt;BB5,BB5,-1)</f>
        <v>18.467441244133386</v>
      </c>
      <c r="BC6" s="39">
        <f ca="1">IF(BB6=-1,10,0)</f>
        <v>0</v>
      </c>
      <c r="BD6" s="39"/>
      <c r="BE6" s="39">
        <v>90</v>
      </c>
      <c r="BF6" s="39">
        <f ca="1">IF(BE6&gt;BF5,BF5,-1)</f>
        <v>28.046474648003183</v>
      </c>
      <c r="BG6" s="39">
        <f ca="1">IF(BF6=-1,10,0)</f>
        <v>0</v>
      </c>
      <c r="BH6" s="272"/>
      <c r="BJ6" s="1" t="s">
        <v>3439</v>
      </c>
      <c r="BK6" s="1"/>
      <c r="BR6" s="556">
        <f ca="1">IF(BR5=0,2041,BR5)</f>
        <v>2020</v>
      </c>
    </row>
    <row r="7" spans="1:93">
      <c r="U7" s="30" t="s">
        <v>3440</v>
      </c>
      <c r="V7" s="61">
        <f ca="1">Φύλλο2!AR49</f>
        <v>17</v>
      </c>
      <c r="AE7" s="1" t="s">
        <v>3441</v>
      </c>
      <c r="AV7" s="272"/>
      <c r="AW7" s="39"/>
      <c r="AX7" s="39" t="s">
        <v>2768</v>
      </c>
      <c r="AY7" s="86">
        <f ca="1">AY6*-1</f>
        <v>-18.467441244133386</v>
      </c>
      <c r="AZ7" s="39"/>
      <c r="BA7" s="39">
        <v>80</v>
      </c>
      <c r="BB7" s="39">
        <f t="shared" ref="BB7:BB14" ca="1" si="0">IF(BA7&gt;BB6,BB6,-1)</f>
        <v>18.467441244133386</v>
      </c>
      <c r="BC7" s="39">
        <f t="shared" ref="BC7:BC14" ca="1" si="1">IF(BB7=-1,10,0)</f>
        <v>0</v>
      </c>
      <c r="BD7" s="39"/>
      <c r="BE7" s="39">
        <v>80</v>
      </c>
      <c r="BF7" s="39">
        <f t="shared" ref="BF7:BF14" ca="1" si="2">IF(BE7&gt;BF6,BF6,-1)</f>
        <v>28.046474648003183</v>
      </c>
      <c r="BG7" s="39">
        <f t="shared" ref="BG7:BG14" ca="1" si="3">IF(BF7=-1,10,0)</f>
        <v>0</v>
      </c>
      <c r="BH7" s="272"/>
      <c r="BJ7" s="1" t="s">
        <v>3442</v>
      </c>
      <c r="BK7" s="1"/>
      <c r="BQ7" s="335"/>
    </row>
    <row r="8" spans="1:93">
      <c r="U8" s="30" t="s">
        <v>3443</v>
      </c>
      <c r="V8" s="61">
        <f ca="1">Φύλλο2!AS49</f>
        <v>59</v>
      </c>
      <c r="AE8" s="1" t="s">
        <v>3444</v>
      </c>
      <c r="AV8" s="272"/>
      <c r="AW8" s="39"/>
      <c r="AX8" s="39" t="s">
        <v>2769</v>
      </c>
      <c r="AY8" s="80">
        <f ca="1">IF(AY7&lt;0,AY6,AY7)</f>
        <v>18.467441244133386</v>
      </c>
      <c r="AZ8" s="39"/>
      <c r="BA8" s="39">
        <v>70</v>
      </c>
      <c r="BB8" s="39">
        <f t="shared" ca="1" si="0"/>
        <v>18.467441244133386</v>
      </c>
      <c r="BC8" s="39">
        <f t="shared" ca="1" si="1"/>
        <v>0</v>
      </c>
      <c r="BD8" s="39"/>
      <c r="BE8" s="39">
        <v>70</v>
      </c>
      <c r="BF8" s="39">
        <f t="shared" ca="1" si="2"/>
        <v>28.046474648003183</v>
      </c>
      <c r="BG8" s="39">
        <f t="shared" ca="1" si="3"/>
        <v>0</v>
      </c>
      <c r="BH8" s="272"/>
      <c r="BJ8" s="1" t="s">
        <v>3445</v>
      </c>
      <c r="BK8" s="1"/>
    </row>
    <row r="9" spans="1:93">
      <c r="L9" s="63"/>
      <c r="U9" s="30" t="s">
        <v>3446</v>
      </c>
      <c r="V9" s="61">
        <f ca="1">Φύλλο2!AT49</f>
        <v>20</v>
      </c>
      <c r="Y9" s="63">
        <v>1</v>
      </c>
      <c r="Z9" s="335" t="s">
        <v>3447</v>
      </c>
      <c r="AA9" s="68">
        <f ca="1">V129</f>
        <v>2020</v>
      </c>
      <c r="AE9" s="1" t="s">
        <v>3448</v>
      </c>
      <c r="AV9" s="272"/>
      <c r="AW9" s="39"/>
      <c r="AX9" s="268" t="s">
        <v>2770</v>
      </c>
      <c r="AY9" s="268">
        <f ca="1">IF(AY6&lt;0,2,1)</f>
        <v>1</v>
      </c>
      <c r="AZ9" s="39"/>
      <c r="BA9" s="39">
        <v>60</v>
      </c>
      <c r="BB9" s="39">
        <f t="shared" ca="1" si="0"/>
        <v>18.467441244133386</v>
      </c>
      <c r="BC9" s="39">
        <f t="shared" ca="1" si="1"/>
        <v>0</v>
      </c>
      <c r="BD9" s="39"/>
      <c r="BE9" s="39">
        <v>60</v>
      </c>
      <c r="BF9" s="39">
        <f t="shared" ca="1" si="2"/>
        <v>28.046474648003183</v>
      </c>
      <c r="BG9" s="39">
        <f t="shared" ca="1" si="3"/>
        <v>0</v>
      </c>
      <c r="BH9" s="272"/>
      <c r="BJ9" s="1" t="s">
        <v>3449</v>
      </c>
      <c r="BK9" s="1"/>
      <c r="BM9" s="63" t="s">
        <v>3450</v>
      </c>
      <c r="BQ9" s="63" t="s">
        <v>3451</v>
      </c>
      <c r="BW9" s="63" t="s">
        <v>3450</v>
      </c>
    </row>
    <row r="10" spans="1:93">
      <c r="A10" s="140"/>
      <c r="B10" s="140"/>
      <c r="C10" s="140"/>
      <c r="D10" s="140"/>
      <c r="E10" s="140"/>
      <c r="F10" s="140"/>
      <c r="G10" s="140"/>
      <c r="H10" s="140"/>
      <c r="I10" s="140"/>
      <c r="J10" s="140"/>
      <c r="K10" s="140"/>
      <c r="L10" s="140"/>
      <c r="M10" s="140"/>
      <c r="N10" s="140"/>
      <c r="O10" s="140"/>
      <c r="P10" s="140"/>
      <c r="Q10" s="140"/>
      <c r="R10" s="140"/>
      <c r="U10" s="26" t="s">
        <v>3452</v>
      </c>
      <c r="V10" s="61">
        <f>Φύλλο2!AU49</f>
        <v>18.893083333333333</v>
      </c>
      <c r="Y10" s="63" t="s">
        <v>3453</v>
      </c>
      <c r="Z10" s="366" t="s">
        <v>3454</v>
      </c>
      <c r="AE10" s="1" t="s">
        <v>3455</v>
      </c>
      <c r="AV10" s="272"/>
      <c r="AW10" s="39"/>
      <c r="AX10" s="39" t="s">
        <v>2771</v>
      </c>
      <c r="AY10" s="275">
        <f ca="1">IF(AY8&gt;100,0,AY8)</f>
        <v>18.467441244133386</v>
      </c>
      <c r="AZ10" s="39"/>
      <c r="BA10" s="39">
        <v>50</v>
      </c>
      <c r="BB10" s="39">
        <f t="shared" ca="1" si="0"/>
        <v>18.467441244133386</v>
      </c>
      <c r="BC10" s="39">
        <f t="shared" ca="1" si="1"/>
        <v>0</v>
      </c>
      <c r="BD10" s="39"/>
      <c r="BE10" s="39">
        <v>50</v>
      </c>
      <c r="BF10" s="39">
        <f t="shared" ca="1" si="2"/>
        <v>28.046474648003183</v>
      </c>
      <c r="BG10" s="39">
        <f t="shared" ca="1" si="3"/>
        <v>0</v>
      </c>
      <c r="BH10" s="272"/>
      <c r="BJ10" s="1" t="s">
        <v>3456</v>
      </c>
      <c r="BK10" s="1"/>
      <c r="BN10" s="1" t="s">
        <v>2665</v>
      </c>
      <c r="BO10" s="68">
        <f ca="1">BR6</f>
        <v>2020</v>
      </c>
      <c r="BP10" s="39"/>
      <c r="BQ10" s="1" t="s">
        <v>2665</v>
      </c>
      <c r="BR10" s="367">
        <f ca="1">BR6</f>
        <v>2020</v>
      </c>
      <c r="BS10" s="332"/>
      <c r="BT10" s="268"/>
      <c r="BV10" s="175" t="s">
        <v>2665</v>
      </c>
      <c r="BW10" s="368">
        <f ca="1">IF(BO25=1,CA13,0)</f>
        <v>2</v>
      </c>
      <c r="BX10" s="69" t="s">
        <v>3457</v>
      </c>
      <c r="BZ10" s="63" t="s">
        <v>2761</v>
      </c>
      <c r="CA10" s="39"/>
    </row>
    <row r="11" spans="1:93">
      <c r="A11" s="140"/>
      <c r="B11" s="140"/>
      <c r="C11" s="140"/>
      <c r="D11" s="140"/>
      <c r="E11" s="140"/>
      <c r="F11" s="140"/>
      <c r="G11" s="140"/>
      <c r="H11" s="140"/>
      <c r="I11" s="140"/>
      <c r="J11" s="140"/>
      <c r="K11" s="140"/>
      <c r="L11" s="140"/>
      <c r="M11" s="140"/>
      <c r="N11" s="140"/>
      <c r="O11" s="140"/>
      <c r="P11" s="140"/>
      <c r="Q11" s="140"/>
      <c r="R11" s="140"/>
      <c r="U11" s="26" t="s">
        <v>3458</v>
      </c>
      <c r="V11" s="61">
        <f>Φύλλο2!AN49</f>
        <v>0</v>
      </c>
      <c r="Y11" s="61" t="s">
        <v>2762</v>
      </c>
      <c r="Z11" s="369" t="s">
        <v>3459</v>
      </c>
      <c r="AA11" s="1" t="s">
        <v>2665</v>
      </c>
      <c r="AB11" s="68">
        <f ca="1">AA9</f>
        <v>2020</v>
      </c>
      <c r="AC11" s="1">
        <f ca="1">AB11</f>
        <v>2020</v>
      </c>
      <c r="AE11" s="1" t="s">
        <v>3460</v>
      </c>
      <c r="AV11" s="272"/>
      <c r="AW11" s="276" t="s">
        <v>2772</v>
      </c>
      <c r="AX11" s="39"/>
      <c r="AY11" s="39"/>
      <c r="AZ11" s="39"/>
      <c r="BA11" s="39">
        <v>40</v>
      </c>
      <c r="BB11" s="39">
        <f t="shared" ca="1" si="0"/>
        <v>18.467441244133386</v>
      </c>
      <c r="BC11" s="39">
        <f t="shared" ca="1" si="1"/>
        <v>0</v>
      </c>
      <c r="BD11" s="39"/>
      <c r="BE11" s="39">
        <v>40</v>
      </c>
      <c r="BF11" s="39">
        <f t="shared" ca="1" si="2"/>
        <v>28.046474648003183</v>
      </c>
      <c r="BG11" s="39">
        <f t="shared" ca="1" si="3"/>
        <v>0</v>
      </c>
      <c r="BH11" s="272"/>
      <c r="BJ11" s="1" t="s">
        <v>3461</v>
      </c>
      <c r="BK11" s="1"/>
      <c r="BM11" s="1">
        <v>2000</v>
      </c>
      <c r="BN11" s="1">
        <v>1</v>
      </c>
      <c r="BO11" s="1">
        <f ca="1">IF(BO10=BM11,BN11,BO10)</f>
        <v>2020</v>
      </c>
      <c r="BQ11" s="61" t="s">
        <v>2762</v>
      </c>
      <c r="BR11" s="70" t="s">
        <v>3462</v>
      </c>
      <c r="BS11" s="332"/>
      <c r="BT11" s="39"/>
      <c r="BU11" s="39"/>
      <c r="BV11" s="61" t="s">
        <v>3403</v>
      </c>
      <c r="BW11" s="259" t="s">
        <v>3463</v>
      </c>
      <c r="BX11" s="70" t="s">
        <v>3464</v>
      </c>
      <c r="BZ11" s="1" t="s">
        <v>3465</v>
      </c>
      <c r="CA11" s="177">
        <f ca="1">BR54</f>
        <v>17.299701507404215</v>
      </c>
      <c r="CC11" s="273" t="s">
        <v>2782</v>
      </c>
      <c r="CD11" s="272"/>
      <c r="CE11" s="272"/>
      <c r="CF11" s="272"/>
      <c r="CG11" s="272"/>
      <c r="CH11" s="272"/>
      <c r="CI11" s="272"/>
      <c r="CJ11" s="272"/>
      <c r="CK11" s="272"/>
      <c r="CL11" s="272"/>
      <c r="CM11" s="272"/>
      <c r="CN11" s="272"/>
      <c r="CO11" s="273" t="s">
        <v>2783</v>
      </c>
    </row>
    <row r="12" spans="1:93">
      <c r="A12" s="140"/>
      <c r="B12" s="140"/>
      <c r="C12" s="140"/>
      <c r="D12" s="140"/>
      <c r="E12" s="140"/>
      <c r="F12" s="140"/>
      <c r="G12" s="140"/>
      <c r="H12" s="140"/>
      <c r="I12" s="140"/>
      <c r="J12" s="140"/>
      <c r="K12" s="140"/>
      <c r="L12" s="140"/>
      <c r="M12" s="140"/>
      <c r="N12" s="140"/>
      <c r="O12" s="140"/>
      <c r="P12" s="140"/>
      <c r="Q12" s="140"/>
      <c r="R12" s="140"/>
      <c r="U12" s="370" t="s">
        <v>3466</v>
      </c>
      <c r="V12" s="256">
        <f>Φύλλο1!BH98</f>
        <v>0</v>
      </c>
      <c r="Y12" s="69">
        <v>2020</v>
      </c>
      <c r="Z12" s="69">
        <v>20.240555555555556</v>
      </c>
      <c r="AA12" s="69">
        <v>1</v>
      </c>
      <c r="AB12" s="1">
        <f ca="1">IF(AB11=Y12,AA12,AB11)</f>
        <v>1</v>
      </c>
      <c r="AC12" s="1">
        <f ca="1">IF(AC11=Y12,Z12,AC11)</f>
        <v>20.240555555555556</v>
      </c>
      <c r="AE12" s="1" t="s">
        <v>3467</v>
      </c>
      <c r="AV12" s="272"/>
      <c r="AW12" s="277">
        <f ca="1">AS61</f>
        <v>18.467441244133386</v>
      </c>
      <c r="AX12" s="39"/>
      <c r="AY12" s="39"/>
      <c r="AZ12" s="39"/>
      <c r="BA12" s="39">
        <v>30</v>
      </c>
      <c r="BB12" s="39">
        <f t="shared" ca="1" si="0"/>
        <v>18.467441244133386</v>
      </c>
      <c r="BC12" s="39">
        <f t="shared" ca="1" si="1"/>
        <v>0</v>
      </c>
      <c r="BD12" s="39"/>
      <c r="BE12" s="39">
        <v>30</v>
      </c>
      <c r="BF12" s="39">
        <f t="shared" ca="1" si="2"/>
        <v>28.046474648003183</v>
      </c>
      <c r="BG12" s="39">
        <f t="shared" ca="1" si="3"/>
        <v>0</v>
      </c>
      <c r="BH12" s="272"/>
      <c r="BJ12" s="1" t="s">
        <v>3468</v>
      </c>
      <c r="BK12" s="91">
        <v>365.24219264999999</v>
      </c>
      <c r="BM12" s="1">
        <v>2004</v>
      </c>
      <c r="BN12" s="1">
        <v>1</v>
      </c>
      <c r="BO12" s="1">
        <f t="shared" ref="BO12:BO21" ca="1" si="4">IF(BO11=BM12,BN12,BO11)</f>
        <v>2020</v>
      </c>
      <c r="BQ12" s="69">
        <v>2000</v>
      </c>
      <c r="BR12" s="69">
        <v>17.293611111111112</v>
      </c>
      <c r="BS12" s="332"/>
      <c r="BT12" s="39"/>
      <c r="BV12" s="69">
        <v>0</v>
      </c>
      <c r="BW12" s="69">
        <v>0</v>
      </c>
      <c r="BX12" s="69">
        <v>0</v>
      </c>
      <c r="BZ12" s="1" t="s">
        <v>3469</v>
      </c>
      <c r="CA12" s="61">
        <f>V29</f>
        <v>23.907699999999998</v>
      </c>
      <c r="CC12" s="272"/>
      <c r="CD12" s="39"/>
      <c r="CE12" s="39" t="s">
        <v>2679</v>
      </c>
      <c r="CF12" s="39" t="b">
        <f ca="1">ISNUMBER(CD20)</f>
        <v>1</v>
      </c>
      <c r="CG12" s="39"/>
      <c r="CH12" s="39" t="s">
        <v>2665</v>
      </c>
      <c r="CI12" s="68">
        <f ca="1">CF18</f>
        <v>7.5602866586212087</v>
      </c>
      <c r="CJ12" s="39"/>
      <c r="CK12" s="39"/>
      <c r="CL12" s="39" t="s">
        <v>2665</v>
      </c>
      <c r="CM12" s="68">
        <f ca="1">CK37</f>
        <v>33.617199517272525</v>
      </c>
      <c r="CN12" s="39"/>
      <c r="CO12" s="272"/>
    </row>
    <row r="13" spans="1:93">
      <c r="A13" s="140"/>
      <c r="B13" s="140"/>
      <c r="C13" s="140"/>
      <c r="D13" s="140"/>
      <c r="E13" s="140"/>
      <c r="F13" s="140"/>
      <c r="G13" s="140"/>
      <c r="H13" s="140"/>
      <c r="I13" s="140"/>
      <c r="J13" s="140"/>
      <c r="K13" s="140"/>
      <c r="L13" s="140"/>
      <c r="M13" s="140"/>
      <c r="N13" s="140"/>
      <c r="O13" s="140"/>
      <c r="P13" s="140"/>
      <c r="Q13" s="140"/>
      <c r="R13" s="140"/>
      <c r="U13" s="86"/>
      <c r="V13" s="39"/>
      <c r="Y13" s="42">
        <v>2024</v>
      </c>
      <c r="Z13" s="42">
        <v>20.330277777777777</v>
      </c>
      <c r="AA13" s="42">
        <v>1</v>
      </c>
      <c r="AB13" s="1">
        <f t="shared" ref="AB13:AB17" ca="1" si="5">IF(AB12=Y13,AA13,AB12)</f>
        <v>1</v>
      </c>
      <c r="AC13" s="1">
        <f t="shared" ref="AC13:AC17" ca="1" si="6">IF(AC12=Y13,Z13,AC12)</f>
        <v>20.240555555555556</v>
      </c>
      <c r="AE13" s="1" t="s">
        <v>3470</v>
      </c>
      <c r="AV13" s="272"/>
      <c r="AW13" s="278" t="s">
        <v>2672</v>
      </c>
      <c r="AX13" s="39"/>
      <c r="AY13" s="39"/>
      <c r="AZ13" s="39"/>
      <c r="BA13" s="39">
        <v>20</v>
      </c>
      <c r="BB13" s="39">
        <f t="shared" ca="1" si="0"/>
        <v>18.467441244133386</v>
      </c>
      <c r="BC13" s="39">
        <f t="shared" ca="1" si="1"/>
        <v>0</v>
      </c>
      <c r="BD13" s="39"/>
      <c r="BE13" s="39">
        <v>20</v>
      </c>
      <c r="BF13" s="39">
        <f t="shared" ca="1" si="2"/>
        <v>-1</v>
      </c>
      <c r="BG13" s="39">
        <f t="shared" ca="1" si="3"/>
        <v>10</v>
      </c>
      <c r="BH13" s="272"/>
      <c r="BJ13" s="1" t="s">
        <v>3471</v>
      </c>
      <c r="BK13" s="1">
        <v>50.26</v>
      </c>
      <c r="BM13" s="1">
        <v>2008</v>
      </c>
      <c r="BN13" s="1">
        <v>1</v>
      </c>
      <c r="BO13" s="1">
        <f t="shared" ca="1" si="4"/>
        <v>2020</v>
      </c>
      <c r="BQ13" s="42">
        <v>2001</v>
      </c>
      <c r="BR13" s="42">
        <v>17.244761077041893</v>
      </c>
      <c r="BS13" s="332"/>
      <c r="BT13" s="39"/>
      <c r="BU13" s="371"/>
      <c r="BV13" s="42">
        <v>1</v>
      </c>
      <c r="BW13" s="42">
        <v>31</v>
      </c>
      <c r="BX13" s="42">
        <v>0</v>
      </c>
      <c r="BZ13" s="1" t="s">
        <v>3403</v>
      </c>
      <c r="CA13" s="61">
        <f ca="1">V130</f>
        <v>2</v>
      </c>
      <c r="CC13" s="272"/>
      <c r="CD13" s="39"/>
      <c r="CE13" s="39" t="b">
        <v>0</v>
      </c>
      <c r="CF13" s="274">
        <f ca="1">IF(CF12=CE13,0,CD20)</f>
        <v>7.5602866586212087</v>
      </c>
      <c r="CG13" s="39"/>
      <c r="CH13" s="39">
        <v>90</v>
      </c>
      <c r="CI13" s="39">
        <f ca="1">IF(CH13&gt;CI12,CI12,-1)</f>
        <v>7.5602866586212087</v>
      </c>
      <c r="CJ13" s="39">
        <f ca="1">IF(CI13=-1,10,0)</f>
        <v>0</v>
      </c>
      <c r="CK13" s="39"/>
      <c r="CL13" s="39">
        <v>90</v>
      </c>
      <c r="CM13" s="39">
        <f ca="1">IF(CL13&gt;CM12,CM12,-1)</f>
        <v>33.617199517272525</v>
      </c>
      <c r="CN13" s="39">
        <f ca="1">IF(CM13=-1,10,0)</f>
        <v>0</v>
      </c>
      <c r="CO13" s="272"/>
    </row>
    <row r="14" spans="1:93">
      <c r="A14" s="140"/>
      <c r="B14" s="140"/>
      <c r="C14" s="140"/>
      <c r="D14" s="140"/>
      <c r="E14" s="140"/>
      <c r="F14" s="140"/>
      <c r="G14" s="140"/>
      <c r="H14" s="140"/>
      <c r="I14" s="140"/>
      <c r="J14" s="140"/>
      <c r="K14" s="140"/>
      <c r="L14" s="140"/>
      <c r="M14" s="140"/>
      <c r="N14" s="140"/>
      <c r="O14" s="140"/>
      <c r="P14" s="140"/>
      <c r="Q14" s="140"/>
      <c r="R14" s="140"/>
      <c r="Y14" s="42">
        <v>2028</v>
      </c>
      <c r="Z14" s="42">
        <v>20.445</v>
      </c>
      <c r="AA14" s="42">
        <v>1</v>
      </c>
      <c r="AB14" s="1">
        <f t="shared" ca="1" si="5"/>
        <v>1</v>
      </c>
      <c r="AC14" s="1">
        <f t="shared" ca="1" si="6"/>
        <v>20.240555555555556</v>
      </c>
      <c r="AE14" s="1" t="s">
        <v>3472</v>
      </c>
      <c r="AV14" s="272"/>
      <c r="AW14" s="73">
        <f ca="1">IF(AY9=1,BG37,BG41)</f>
        <v>18</v>
      </c>
      <c r="AX14" s="39"/>
      <c r="AY14" s="39"/>
      <c r="AZ14" s="39"/>
      <c r="BA14" s="39">
        <v>10</v>
      </c>
      <c r="BB14" s="39">
        <f t="shared" ca="1" si="0"/>
        <v>-1</v>
      </c>
      <c r="BC14" s="39">
        <f t="shared" ca="1" si="1"/>
        <v>10</v>
      </c>
      <c r="BD14" s="39"/>
      <c r="BE14" s="39">
        <v>10</v>
      </c>
      <c r="BF14" s="39">
        <f t="shared" ca="1" si="2"/>
        <v>-1</v>
      </c>
      <c r="BG14" s="39">
        <f t="shared" ca="1" si="3"/>
        <v>10</v>
      </c>
      <c r="BH14" s="272"/>
      <c r="BJ14" s="1" t="s">
        <v>3473</v>
      </c>
      <c r="BK14" s="1">
        <v>1296000</v>
      </c>
      <c r="BM14" s="1">
        <v>2012</v>
      </c>
      <c r="BN14" s="1">
        <v>1</v>
      </c>
      <c r="BO14" s="1">
        <f t="shared" ca="1" si="4"/>
        <v>2020</v>
      </c>
      <c r="BQ14" s="42">
        <v>2002</v>
      </c>
      <c r="BR14" s="42">
        <v>17.261450448151173</v>
      </c>
      <c r="BS14" s="332"/>
      <c r="BT14" s="39"/>
      <c r="BU14" s="371"/>
      <c r="BV14" s="42">
        <v>2</v>
      </c>
      <c r="BW14" s="42">
        <v>29</v>
      </c>
      <c r="BX14" s="42">
        <v>2.031375227686703</v>
      </c>
      <c r="BZ14" s="1" t="s">
        <v>3412</v>
      </c>
      <c r="CA14" s="61">
        <f ca="1">V131</f>
        <v>3</v>
      </c>
      <c r="CC14" s="272"/>
      <c r="CD14" s="39"/>
      <c r="CE14" s="39" t="s">
        <v>2768</v>
      </c>
      <c r="CF14" s="86">
        <f ca="1">CF13*-1</f>
        <v>-7.5602866586212087</v>
      </c>
      <c r="CG14" s="39"/>
      <c r="CH14" s="39">
        <v>80</v>
      </c>
      <c r="CI14" s="39">
        <f t="shared" ref="CI14:CI22" ca="1" si="7">IF(CH14&gt;CI13,CI13,-1)</f>
        <v>7.5602866586212087</v>
      </c>
      <c r="CJ14" s="39">
        <f t="shared" ref="CJ14:CJ22" ca="1" si="8">IF(CI14=-1,10,0)</f>
        <v>0</v>
      </c>
      <c r="CK14" s="39"/>
      <c r="CL14" s="39">
        <v>80</v>
      </c>
      <c r="CM14" s="39">
        <f t="shared" ref="CM14:CM22" ca="1" si="9">IF(CL14&gt;CM13,CM13,-1)</f>
        <v>33.617199517272525</v>
      </c>
      <c r="CN14" s="39">
        <f t="shared" ref="CN14:CN22" ca="1" si="10">IF(CM14=-1,10,0)</f>
        <v>0</v>
      </c>
      <c r="CO14" s="272"/>
    </row>
    <row r="15" spans="1:93">
      <c r="A15" s="140"/>
      <c r="B15" s="140"/>
      <c r="C15" s="140"/>
      <c r="D15" s="140"/>
      <c r="E15" s="140"/>
      <c r="F15" s="140"/>
      <c r="G15" s="140"/>
      <c r="H15" s="140"/>
      <c r="I15" s="140"/>
      <c r="J15" s="140"/>
      <c r="K15" s="140"/>
      <c r="L15" s="140"/>
      <c r="M15" s="140"/>
      <c r="N15" s="140"/>
      <c r="O15" s="140"/>
      <c r="P15" s="140"/>
      <c r="Q15" s="140"/>
      <c r="R15" s="140"/>
      <c r="U15" s="372" t="s">
        <v>3425</v>
      </c>
      <c r="V15" s="91">
        <f ca="1">V3</f>
        <v>2020</v>
      </c>
      <c r="Y15" s="42">
        <v>2032</v>
      </c>
      <c r="Z15" s="42">
        <v>20.563611111111111</v>
      </c>
      <c r="AA15" s="42">
        <v>1</v>
      </c>
      <c r="AB15" s="1">
        <f t="shared" ca="1" si="5"/>
        <v>1</v>
      </c>
      <c r="AC15" s="1">
        <f t="shared" ca="1" si="6"/>
        <v>20.240555555555556</v>
      </c>
      <c r="AE15" s="1" t="s">
        <v>3474</v>
      </c>
      <c r="AV15" s="272"/>
      <c r="AW15" s="73">
        <f ca="1">IF(AY9=1,BG38,BG42)</f>
        <v>28</v>
      </c>
      <c r="AX15" s="39"/>
      <c r="AY15" s="39"/>
      <c r="AZ15" s="39"/>
      <c r="BA15" s="39"/>
      <c r="BB15" s="39"/>
      <c r="BC15" s="279">
        <f ca="1">SUM(BC6:BC14)</f>
        <v>10</v>
      </c>
      <c r="BD15" s="39"/>
      <c r="BE15" s="39"/>
      <c r="BF15" s="39"/>
      <c r="BG15" s="279">
        <f ca="1">SUM(BG6:BG14)</f>
        <v>20</v>
      </c>
      <c r="BH15" s="272"/>
      <c r="BJ15" s="63" t="s">
        <v>3475</v>
      </c>
      <c r="BK15" s="1"/>
      <c r="BM15" s="1">
        <v>2016</v>
      </c>
      <c r="BN15" s="1">
        <v>1</v>
      </c>
      <c r="BO15" s="1">
        <f t="shared" ca="1" si="4"/>
        <v>2020</v>
      </c>
      <c r="BQ15" s="42">
        <v>2003</v>
      </c>
      <c r="BR15" s="42">
        <v>17.278139819260453</v>
      </c>
      <c r="BU15" s="371"/>
      <c r="BV15" s="42">
        <v>3</v>
      </c>
      <c r="BW15" s="42">
        <v>31</v>
      </c>
      <c r="BX15" s="42">
        <v>3.9316939890710385</v>
      </c>
      <c r="BZ15" s="1" t="s">
        <v>3476</v>
      </c>
      <c r="CA15" s="61">
        <f ca="1">V132</f>
        <v>17.988888888888887</v>
      </c>
      <c r="CC15" s="272"/>
      <c r="CD15" s="39"/>
      <c r="CE15" s="39" t="s">
        <v>2769</v>
      </c>
      <c r="CF15" s="80">
        <f ca="1">IF(CF14&lt;0,CF13,CF14)</f>
        <v>7.5602866586212087</v>
      </c>
      <c r="CG15" s="39"/>
      <c r="CH15" s="39">
        <v>70</v>
      </c>
      <c r="CI15" s="39">
        <f t="shared" ca="1" si="7"/>
        <v>7.5602866586212087</v>
      </c>
      <c r="CJ15" s="39">
        <f t="shared" ca="1" si="8"/>
        <v>0</v>
      </c>
      <c r="CK15" s="39"/>
      <c r="CL15" s="39">
        <v>70</v>
      </c>
      <c r="CM15" s="39">
        <f t="shared" ca="1" si="9"/>
        <v>33.617199517272525</v>
      </c>
      <c r="CN15" s="39">
        <f t="shared" ca="1" si="10"/>
        <v>0</v>
      </c>
      <c r="CO15" s="272"/>
    </row>
    <row r="16" spans="1:93" ht="18.75">
      <c r="A16" s="140"/>
      <c r="B16" s="140"/>
      <c r="C16" s="140"/>
      <c r="D16" s="140"/>
      <c r="E16" s="140"/>
      <c r="F16" s="216"/>
      <c r="G16" s="527" t="s">
        <v>3745</v>
      </c>
      <c r="H16" s="216"/>
      <c r="I16" s="373"/>
      <c r="J16" s="216"/>
      <c r="K16" s="216"/>
      <c r="L16" s="216"/>
      <c r="M16" s="216"/>
      <c r="N16" s="140"/>
      <c r="O16" s="140"/>
      <c r="P16" s="140"/>
      <c r="Q16" s="140"/>
      <c r="R16" s="140"/>
      <c r="U16" s="1" t="s">
        <v>3477</v>
      </c>
      <c r="V16" s="1">
        <f ca="1">IF(V15&gt;2040,2,0)</f>
        <v>0</v>
      </c>
      <c r="Y16" s="42">
        <v>2036</v>
      </c>
      <c r="Z16" s="42">
        <v>20.664444444444445</v>
      </c>
      <c r="AA16" s="42">
        <v>1</v>
      </c>
      <c r="AB16" s="1">
        <f ca="1">IF(AB15=Y16,AA16,AB15)</f>
        <v>1</v>
      </c>
      <c r="AC16" s="1">
        <f ca="1">IF(AC15=Y16,Z16,AC15)</f>
        <v>20.240555555555556</v>
      </c>
      <c r="AV16" s="272"/>
      <c r="AW16" s="73">
        <f ca="1">IF(AY9=1,BG39,BG43)</f>
        <v>2.7884788801910076</v>
      </c>
      <c r="AX16" s="39"/>
      <c r="AY16" s="39"/>
      <c r="AZ16" s="39"/>
      <c r="BA16" s="39"/>
      <c r="BB16" s="39"/>
      <c r="BC16" s="280">
        <f ca="1">BB5-BC15</f>
        <v>8.4674412441333864</v>
      </c>
      <c r="BD16" s="39"/>
      <c r="BE16" s="39"/>
      <c r="BF16" s="39"/>
      <c r="BG16" s="280">
        <f ca="1">BF5-BG15</f>
        <v>8.0464746480031835</v>
      </c>
      <c r="BH16" s="272"/>
      <c r="BJ16" s="1" t="s">
        <v>3478</v>
      </c>
      <c r="BK16" s="1"/>
      <c r="BM16" s="1">
        <v>2020</v>
      </c>
      <c r="BN16" s="1">
        <v>1</v>
      </c>
      <c r="BO16" s="1">
        <f ca="1">IF(BO15=BM16,BN16,BO15)</f>
        <v>1</v>
      </c>
      <c r="BQ16" s="42">
        <v>2004</v>
      </c>
      <c r="BR16" s="42">
        <v>17.294829190369732</v>
      </c>
      <c r="BU16" s="371"/>
      <c r="BV16" s="42">
        <v>4</v>
      </c>
      <c r="BW16" s="42">
        <v>30</v>
      </c>
      <c r="BX16" s="42">
        <v>5.9630692167577415</v>
      </c>
      <c r="BZ16" s="335" t="s">
        <v>3479</v>
      </c>
      <c r="CA16" s="177">
        <v>0</v>
      </c>
      <c r="CC16" s="272"/>
      <c r="CD16" s="39"/>
      <c r="CE16" s="39"/>
      <c r="CF16" s="80"/>
      <c r="CG16" s="39"/>
      <c r="CH16" s="39"/>
      <c r="CI16" s="39"/>
      <c r="CJ16" s="39"/>
      <c r="CK16" s="39"/>
      <c r="CL16" s="39"/>
      <c r="CM16" s="39"/>
      <c r="CN16" s="39"/>
      <c r="CO16" s="272"/>
    </row>
    <row r="17" spans="1:93">
      <c r="A17" s="140"/>
      <c r="B17" s="140"/>
      <c r="C17" s="140"/>
      <c r="D17" s="140"/>
      <c r="E17" s="217"/>
      <c r="F17" s="374"/>
      <c r="G17" s="375" t="s">
        <v>2670</v>
      </c>
      <c r="H17" s="376"/>
      <c r="I17" s="375" t="s">
        <v>3403</v>
      </c>
      <c r="J17" s="377" t="s">
        <v>3412</v>
      </c>
      <c r="K17" s="378" t="str">
        <f ca="1">V21</f>
        <v/>
      </c>
      <c r="L17" s="379"/>
      <c r="M17" s="380"/>
      <c r="N17" s="220"/>
      <c r="O17" s="140"/>
      <c r="P17" s="140"/>
      <c r="Q17" s="140"/>
      <c r="R17" s="140"/>
      <c r="U17" s="1" t="s">
        <v>3480</v>
      </c>
      <c r="V17" s="20">
        <f ca="1">V16</f>
        <v>0</v>
      </c>
      <c r="Y17" s="70">
        <v>2040</v>
      </c>
      <c r="Z17" s="70">
        <v>20.764722222222222</v>
      </c>
      <c r="AA17" s="70">
        <v>1</v>
      </c>
      <c r="AB17" s="1">
        <f t="shared" ca="1" si="5"/>
        <v>1</v>
      </c>
      <c r="AC17" s="1">
        <f t="shared" ca="1" si="6"/>
        <v>20.240555555555556</v>
      </c>
      <c r="AV17" s="272"/>
      <c r="AW17" s="39"/>
      <c r="AX17" s="39"/>
      <c r="AY17" s="39"/>
      <c r="AZ17" s="39"/>
      <c r="BA17" s="39"/>
      <c r="BB17" s="68">
        <f ca="1">BC16</f>
        <v>8.4674412441333864</v>
      </c>
      <c r="BC17" s="39"/>
      <c r="BD17" s="39"/>
      <c r="BE17" s="39"/>
      <c r="BF17" s="68">
        <f ca="1">BG16</f>
        <v>8.0464746480031835</v>
      </c>
      <c r="BG17" s="39"/>
      <c r="BH17" s="272"/>
      <c r="BJ17" s="1" t="s">
        <v>3481</v>
      </c>
      <c r="BK17" s="1"/>
      <c r="BM17" s="1">
        <v>2024</v>
      </c>
      <c r="BN17" s="1">
        <v>1</v>
      </c>
      <c r="BO17" s="1">
        <f t="shared" ca="1" si="4"/>
        <v>1</v>
      </c>
      <c r="BQ17" s="42">
        <v>2005</v>
      </c>
      <c r="BR17" s="42">
        <v>17.245979156300514</v>
      </c>
      <c r="BU17" s="371"/>
      <c r="BV17" s="42">
        <v>5</v>
      </c>
      <c r="BW17" s="42">
        <v>31</v>
      </c>
      <c r="BX17" s="42">
        <v>7.9289162112932612</v>
      </c>
      <c r="BZ17" s="1" t="s">
        <v>10</v>
      </c>
      <c r="CA17" s="61">
        <v>0</v>
      </c>
      <c r="CC17" s="272"/>
      <c r="CD17" s="39"/>
      <c r="CE17" s="268" t="s">
        <v>2770</v>
      </c>
      <c r="CF17" s="268">
        <f ca="1">IF(CF13&lt;0,2,1)</f>
        <v>1</v>
      </c>
      <c r="CG17" s="39"/>
      <c r="CH17" s="39">
        <v>60</v>
      </c>
      <c r="CI17" s="39">
        <f ca="1">IF(CH17&gt;CI15,CI15,-1)</f>
        <v>7.5602866586212087</v>
      </c>
      <c r="CJ17" s="39">
        <f t="shared" ca="1" si="8"/>
        <v>0</v>
      </c>
      <c r="CK17" s="39"/>
      <c r="CL17" s="39">
        <v>60</v>
      </c>
      <c r="CM17" s="39">
        <f ca="1">IF(CL17&gt;CM15,CM15,-1)</f>
        <v>33.617199517272525</v>
      </c>
      <c r="CN17" s="39">
        <f t="shared" ca="1" si="10"/>
        <v>0</v>
      </c>
      <c r="CO17" s="272"/>
    </row>
    <row r="18" spans="1:93">
      <c r="A18" s="140"/>
      <c r="B18" s="140"/>
      <c r="C18" s="140"/>
      <c r="D18" s="140"/>
      <c r="E18" s="217"/>
      <c r="F18" s="381"/>
      <c r="G18" s="382">
        <f ca="1">V3</f>
        <v>2020</v>
      </c>
      <c r="H18" s="383"/>
      <c r="I18" s="384">
        <f ca="1">V5</f>
        <v>2</v>
      </c>
      <c r="J18" s="384">
        <f ca="1">V6</f>
        <v>3</v>
      </c>
      <c r="K18" s="385"/>
      <c r="L18" s="386" t="s">
        <v>3482</v>
      </c>
      <c r="M18" s="387"/>
      <c r="N18" s="220"/>
      <c r="O18" s="140"/>
      <c r="P18" s="140"/>
      <c r="Q18" s="140"/>
      <c r="R18" s="140"/>
      <c r="U18" s="1" t="str">
        <f>""</f>
        <v/>
      </c>
      <c r="V18" s="1">
        <v>0</v>
      </c>
      <c r="AA18" s="1" t="s">
        <v>2672</v>
      </c>
      <c r="AB18" s="388">
        <f ca="1">AB17</f>
        <v>1</v>
      </c>
      <c r="AC18" s="73">
        <f ca="1">AC17</f>
        <v>20.240555555555556</v>
      </c>
      <c r="AH18" s="63" t="s">
        <v>3450</v>
      </c>
      <c r="AV18" s="272"/>
      <c r="AW18" s="91">
        <f ca="1">IF(AY10=0,0,AW14)</f>
        <v>18</v>
      </c>
      <c r="AX18" s="39"/>
      <c r="AY18" s="39"/>
      <c r="AZ18" s="39"/>
      <c r="BA18" s="39">
        <v>9</v>
      </c>
      <c r="BB18" s="39">
        <f ca="1">IF(BA18&gt;BB17,BB17,-1)</f>
        <v>8.4674412441333864</v>
      </c>
      <c r="BC18" s="39">
        <f ca="1">IF(BB18=-1,1,0)</f>
        <v>0</v>
      </c>
      <c r="BD18" s="39"/>
      <c r="BE18" s="39">
        <v>9</v>
      </c>
      <c r="BF18" s="39">
        <f ca="1">IF(BE18&gt;BF17,BF17,-1)</f>
        <v>8.0464746480031835</v>
      </c>
      <c r="BG18" s="39">
        <f ca="1">IF(BF18=-1,1,0)</f>
        <v>0</v>
      </c>
      <c r="BH18" s="272"/>
      <c r="BJ18" s="1" t="s">
        <v>3483</v>
      </c>
      <c r="BK18" s="1"/>
      <c r="BM18" s="1">
        <v>2028</v>
      </c>
      <c r="BN18" s="1">
        <v>1</v>
      </c>
      <c r="BO18" s="1">
        <f t="shared" ca="1" si="4"/>
        <v>1</v>
      </c>
      <c r="BQ18" s="42">
        <v>2006</v>
      </c>
      <c r="BR18" s="42">
        <v>17.262668527409794</v>
      </c>
      <c r="BU18" s="371"/>
      <c r="BV18" s="42">
        <v>6</v>
      </c>
      <c r="BW18" s="42">
        <v>30</v>
      </c>
      <c r="BX18" s="42">
        <v>9.9602914389799651</v>
      </c>
      <c r="BZ18" s="1" t="s">
        <v>3484</v>
      </c>
      <c r="CA18" s="61">
        <f ca="1">BX51</f>
        <v>2.031375227686703</v>
      </c>
      <c r="CC18" s="272"/>
      <c r="CD18" s="39"/>
      <c r="CE18" s="39" t="s">
        <v>2771</v>
      </c>
      <c r="CF18" s="275">
        <f ca="1">IF(CF15&gt;100,0,CF15)</f>
        <v>7.5602866586212087</v>
      </c>
      <c r="CG18" s="39"/>
      <c r="CH18" s="39">
        <v>50</v>
      </c>
      <c r="CI18" s="39">
        <f t="shared" ca="1" si="7"/>
        <v>7.5602866586212087</v>
      </c>
      <c r="CJ18" s="39">
        <f t="shared" ca="1" si="8"/>
        <v>0</v>
      </c>
      <c r="CK18" s="39"/>
      <c r="CL18" s="39">
        <v>50</v>
      </c>
      <c r="CM18" s="39">
        <f t="shared" ca="1" si="9"/>
        <v>33.617199517272525</v>
      </c>
      <c r="CN18" s="39">
        <f t="shared" ca="1" si="10"/>
        <v>0</v>
      </c>
      <c r="CO18" s="272"/>
    </row>
    <row r="19" spans="1:93">
      <c r="A19" s="140"/>
      <c r="B19" s="140"/>
      <c r="C19" s="140"/>
      <c r="D19" s="140"/>
      <c r="E19" s="217"/>
      <c r="F19" s="389"/>
      <c r="G19" s="375" t="s">
        <v>3404</v>
      </c>
      <c r="H19" s="216"/>
      <c r="I19" s="375" t="s">
        <v>2810</v>
      </c>
      <c r="J19" s="377" t="s">
        <v>2731</v>
      </c>
      <c r="K19" s="390"/>
      <c r="L19" s="391" t="s">
        <v>3485</v>
      </c>
      <c r="M19" s="392"/>
      <c r="N19" s="220"/>
      <c r="O19" s="140"/>
      <c r="P19" s="140"/>
      <c r="Q19" s="140"/>
      <c r="R19" s="140"/>
      <c r="U19" s="1" t="s">
        <v>3486</v>
      </c>
      <c r="V19" s="1">
        <v>1</v>
      </c>
      <c r="Y19" s="63">
        <v>2</v>
      </c>
      <c r="AF19" s="71" t="s">
        <v>3403</v>
      </c>
      <c r="AG19" s="71"/>
      <c r="AH19" s="71">
        <v>2020</v>
      </c>
      <c r="AJ19" s="393">
        <v>2040</v>
      </c>
      <c r="AL19" s="142" t="s">
        <v>3487</v>
      </c>
      <c r="AM19" s="142" t="s">
        <v>3487</v>
      </c>
      <c r="AV19" s="272"/>
      <c r="AW19" s="91">
        <f ca="1">IF(AY10=0,0,AW15)</f>
        <v>28</v>
      </c>
      <c r="AX19" s="39"/>
      <c r="AY19" s="39"/>
      <c r="AZ19" s="39"/>
      <c r="BA19" s="39">
        <v>8</v>
      </c>
      <c r="BB19" s="39">
        <f t="shared" ref="BB19:BB26" ca="1" si="11">IF(BA19&gt;BB18,BB18,-1)</f>
        <v>-1</v>
      </c>
      <c r="BC19" s="39">
        <f t="shared" ref="BC19:BC26" ca="1" si="12">IF(BB19=-1,1,0)</f>
        <v>1</v>
      </c>
      <c r="BD19" s="39"/>
      <c r="BE19" s="39">
        <v>8</v>
      </c>
      <c r="BF19" s="39">
        <f t="shared" ref="BF19:BF26" ca="1" si="13">IF(BE19&gt;BF18,BF18,-1)</f>
        <v>-1</v>
      </c>
      <c r="BG19" s="39">
        <f t="shared" ref="BG19:BG26" ca="1" si="14">IF(BF19=-1,1,0)</f>
        <v>1</v>
      </c>
      <c r="BH19" s="272"/>
      <c r="BJ19" s="1" t="s">
        <v>3488</v>
      </c>
      <c r="BK19" s="1"/>
      <c r="BM19" s="1">
        <v>2032</v>
      </c>
      <c r="BN19" s="1">
        <v>1</v>
      </c>
      <c r="BO19" s="1">
        <f t="shared" ca="1" si="4"/>
        <v>1</v>
      </c>
      <c r="BQ19" s="42">
        <v>2007</v>
      </c>
      <c r="BR19" s="42">
        <v>17.279357898519073</v>
      </c>
      <c r="BU19" s="371"/>
      <c r="BV19" s="42">
        <v>7</v>
      </c>
      <c r="BW19" s="42">
        <v>31</v>
      </c>
      <c r="BX19" s="42">
        <v>11.926138433515485</v>
      </c>
      <c r="BZ19" s="1" t="s">
        <v>3489</v>
      </c>
      <c r="CA19" s="394">
        <v>6.5527872763206041E-2</v>
      </c>
      <c r="CC19" s="272"/>
      <c r="CD19" s="276" t="s">
        <v>2772</v>
      </c>
      <c r="CE19" s="39"/>
      <c r="CF19" s="39"/>
      <c r="CG19" s="39"/>
      <c r="CH19" s="39">
        <v>40</v>
      </c>
      <c r="CI19" s="39">
        <f t="shared" ca="1" si="7"/>
        <v>7.5602866586212087</v>
      </c>
      <c r="CJ19" s="39">
        <f t="shared" ca="1" si="8"/>
        <v>0</v>
      </c>
      <c r="CK19" s="39"/>
      <c r="CL19" s="39">
        <v>40</v>
      </c>
      <c r="CM19" s="39">
        <f t="shared" ca="1" si="9"/>
        <v>33.617199517272525</v>
      </c>
      <c r="CN19" s="39">
        <f t="shared" ca="1" si="10"/>
        <v>0</v>
      </c>
      <c r="CO19" s="272"/>
    </row>
    <row r="20" spans="1:93">
      <c r="A20" s="140"/>
      <c r="B20" s="140"/>
      <c r="C20" s="140"/>
      <c r="D20" s="140"/>
      <c r="E20" s="217"/>
      <c r="F20" s="381"/>
      <c r="G20" s="382">
        <f ca="1">V7</f>
        <v>17</v>
      </c>
      <c r="H20" s="383"/>
      <c r="I20" s="384">
        <f ca="1">V8</f>
        <v>59</v>
      </c>
      <c r="J20" s="384">
        <f ca="1">V9</f>
        <v>20</v>
      </c>
      <c r="K20" s="395" t="str">
        <f>V60</f>
        <v>Ώρα Ελλάδος</v>
      </c>
      <c r="L20" s="386"/>
      <c r="M20" s="387"/>
      <c r="N20" s="220"/>
      <c r="O20" s="140"/>
      <c r="P20" s="140"/>
      <c r="Q20" s="140"/>
      <c r="R20" s="140"/>
      <c r="U20" s="1" t="s">
        <v>3490</v>
      </c>
      <c r="V20" s="1">
        <v>2</v>
      </c>
      <c r="Y20" s="63" t="s">
        <v>3491</v>
      </c>
      <c r="AE20" s="175" t="s">
        <v>2665</v>
      </c>
      <c r="AF20" s="367">
        <f ca="1">V130</f>
        <v>2</v>
      </c>
      <c r="AG20" s="396" t="s">
        <v>3492</v>
      </c>
      <c r="AH20" s="397" t="s">
        <v>3493</v>
      </c>
      <c r="AI20" s="366" t="s">
        <v>3457</v>
      </c>
      <c r="AJ20" s="398" t="s">
        <v>3493</v>
      </c>
      <c r="AK20" s="399" t="s">
        <v>3457</v>
      </c>
      <c r="AL20" s="400" t="s">
        <v>3494</v>
      </c>
      <c r="AM20" s="401" t="s">
        <v>3495</v>
      </c>
      <c r="AV20" s="272"/>
      <c r="AW20" s="91">
        <f ca="1">IF(AY10=0,0,AW16)</f>
        <v>2.7884788801910076</v>
      </c>
      <c r="AX20" s="39"/>
      <c r="AY20" s="39"/>
      <c r="AZ20" s="39"/>
      <c r="BA20" s="39">
        <v>7</v>
      </c>
      <c r="BB20" s="39">
        <f t="shared" ca="1" si="11"/>
        <v>-1</v>
      </c>
      <c r="BC20" s="39">
        <f t="shared" ca="1" si="12"/>
        <v>1</v>
      </c>
      <c r="BD20" s="39"/>
      <c r="BE20" s="39">
        <v>7</v>
      </c>
      <c r="BF20" s="39">
        <f t="shared" ca="1" si="13"/>
        <v>-1</v>
      </c>
      <c r="BG20" s="39">
        <f t="shared" ca="1" si="14"/>
        <v>1</v>
      </c>
      <c r="BH20" s="272"/>
      <c r="BJ20" s="1" t="s">
        <v>3496</v>
      </c>
      <c r="BK20" s="1"/>
      <c r="BM20" s="1">
        <v>2036</v>
      </c>
      <c r="BN20" s="1">
        <v>1</v>
      </c>
      <c r="BO20" s="1">
        <f t="shared" ca="1" si="4"/>
        <v>1</v>
      </c>
      <c r="BQ20" s="42">
        <v>2008</v>
      </c>
      <c r="BR20" s="42">
        <v>17.296047269628353</v>
      </c>
      <c r="BU20" s="371"/>
      <c r="BV20" s="42">
        <v>8</v>
      </c>
      <c r="BW20" s="42">
        <v>31</v>
      </c>
      <c r="BX20" s="42">
        <v>13.957513661202189</v>
      </c>
      <c r="BZ20" s="1" t="s">
        <v>3497</v>
      </c>
      <c r="CA20" s="402">
        <f>V10</f>
        <v>18.893083333333333</v>
      </c>
      <c r="CC20" s="272"/>
      <c r="CD20" s="277">
        <f ca="1">CA57</f>
        <v>7.5602866586212087</v>
      </c>
      <c r="CE20" s="39"/>
      <c r="CF20" s="39"/>
      <c r="CG20" s="39"/>
      <c r="CH20" s="39">
        <v>30</v>
      </c>
      <c r="CI20" s="39">
        <f t="shared" ca="1" si="7"/>
        <v>7.5602866586212087</v>
      </c>
      <c r="CJ20" s="39">
        <f t="shared" ca="1" si="8"/>
        <v>0</v>
      </c>
      <c r="CK20" s="39"/>
      <c r="CL20" s="39">
        <v>30</v>
      </c>
      <c r="CM20" s="39">
        <f t="shared" ca="1" si="9"/>
        <v>-1</v>
      </c>
      <c r="CN20" s="39">
        <f t="shared" ca="1" si="10"/>
        <v>10</v>
      </c>
      <c r="CO20" s="272"/>
    </row>
    <row r="21" spans="1:93">
      <c r="A21" s="140"/>
      <c r="B21" s="140"/>
      <c r="C21" s="140"/>
      <c r="D21" s="140"/>
      <c r="E21" s="217"/>
      <c r="F21" s="389"/>
      <c r="G21" s="403"/>
      <c r="H21" s="140"/>
      <c r="I21" s="404" t="s">
        <v>3498</v>
      </c>
      <c r="J21" s="7"/>
      <c r="K21" s="405">
        <v>0</v>
      </c>
      <c r="L21" s="391" t="str">
        <f>V54</f>
        <v/>
      </c>
      <c r="M21" s="406"/>
      <c r="N21" s="220"/>
      <c r="O21" s="140"/>
      <c r="P21" s="140"/>
      <c r="Q21" s="140"/>
      <c r="R21" s="140"/>
      <c r="U21" s="1" t="s">
        <v>2753</v>
      </c>
      <c r="V21" s="92" t="str">
        <f ca="1">LOOKUP(V17,(V18:V20),(U18:U20))</f>
        <v/>
      </c>
      <c r="Y21" s="63"/>
      <c r="Z21" s="366" t="s">
        <v>3454</v>
      </c>
      <c r="AE21" s="42"/>
      <c r="AF21" s="259" t="s">
        <v>3463</v>
      </c>
      <c r="AG21" s="260" t="s">
        <v>3499</v>
      </c>
      <c r="AH21" s="394" t="s">
        <v>3464</v>
      </c>
      <c r="AI21" s="369" t="s">
        <v>3464</v>
      </c>
      <c r="AJ21" s="345" t="s">
        <v>3464</v>
      </c>
      <c r="AK21" s="345" t="s">
        <v>3464</v>
      </c>
      <c r="AL21" s="407" t="s">
        <v>3464</v>
      </c>
      <c r="AM21" s="407" t="s">
        <v>3464</v>
      </c>
      <c r="AV21" s="272"/>
      <c r="AW21" s="39" t="s">
        <v>2773</v>
      </c>
      <c r="AX21" s="39"/>
      <c r="AY21" s="39"/>
      <c r="AZ21" s="39"/>
      <c r="BA21" s="39">
        <v>6</v>
      </c>
      <c r="BB21" s="39">
        <f t="shared" ca="1" si="11"/>
        <v>-1</v>
      </c>
      <c r="BC21" s="39">
        <f t="shared" ca="1" si="12"/>
        <v>1</v>
      </c>
      <c r="BD21" s="39"/>
      <c r="BE21" s="39">
        <v>6</v>
      </c>
      <c r="BF21" s="39">
        <f t="shared" ca="1" si="13"/>
        <v>-1</v>
      </c>
      <c r="BG21" s="39">
        <f t="shared" ca="1" si="14"/>
        <v>1</v>
      </c>
      <c r="BH21" s="272"/>
      <c r="BJ21" s="1" t="s">
        <v>3500</v>
      </c>
      <c r="BK21" s="1"/>
      <c r="BM21" s="1">
        <v>2040</v>
      </c>
      <c r="BN21" s="1">
        <v>1</v>
      </c>
      <c r="BO21" s="1">
        <f t="shared" ca="1" si="4"/>
        <v>1</v>
      </c>
      <c r="BQ21" s="42">
        <v>2009</v>
      </c>
      <c r="BR21" s="42">
        <v>17.247197235559135</v>
      </c>
      <c r="BU21" s="371"/>
      <c r="BV21" s="42">
        <v>9</v>
      </c>
      <c r="BW21" s="42">
        <v>30</v>
      </c>
      <c r="BX21" s="42">
        <v>15.988888888888891</v>
      </c>
      <c r="BZ21" s="1" t="s">
        <v>3501</v>
      </c>
      <c r="CA21" s="177">
        <v>30</v>
      </c>
      <c r="CC21" s="272"/>
      <c r="CD21" s="278" t="s">
        <v>2672</v>
      </c>
      <c r="CE21" s="39"/>
      <c r="CF21" s="39"/>
      <c r="CG21" s="39"/>
      <c r="CH21" s="39">
        <v>20</v>
      </c>
      <c r="CI21" s="39">
        <f t="shared" ca="1" si="7"/>
        <v>7.5602866586212087</v>
      </c>
      <c r="CJ21" s="39">
        <f t="shared" ca="1" si="8"/>
        <v>0</v>
      </c>
      <c r="CK21" s="39"/>
      <c r="CL21" s="39">
        <v>20</v>
      </c>
      <c r="CM21" s="39">
        <f t="shared" ca="1" si="9"/>
        <v>-1</v>
      </c>
      <c r="CN21" s="39">
        <f t="shared" ca="1" si="10"/>
        <v>10</v>
      </c>
      <c r="CO21" s="272"/>
    </row>
    <row r="22" spans="1:93">
      <c r="A22" s="140"/>
      <c r="B22" s="140"/>
      <c r="C22" s="140"/>
      <c r="D22" s="140"/>
      <c r="E22" s="217"/>
      <c r="F22" s="408" t="s">
        <v>3502</v>
      </c>
      <c r="G22" s="215"/>
      <c r="H22" s="409"/>
      <c r="I22" s="410"/>
      <c r="J22" s="411" t="s">
        <v>3503</v>
      </c>
      <c r="K22" s="224">
        <v>23.907699999999998</v>
      </c>
      <c r="L22" s="412" t="str">
        <f>V35</f>
        <v/>
      </c>
      <c r="M22" s="413"/>
      <c r="N22" s="220"/>
      <c r="O22" s="140"/>
      <c r="P22" s="140"/>
      <c r="Q22" s="140"/>
      <c r="R22" s="140"/>
      <c r="Z22" s="369" t="s">
        <v>3459</v>
      </c>
      <c r="AE22" s="69">
        <v>0</v>
      </c>
      <c r="AF22" s="69">
        <v>0</v>
      </c>
      <c r="AG22" s="396"/>
      <c r="AH22" s="366">
        <v>0</v>
      </c>
      <c r="AI22" s="397">
        <v>0</v>
      </c>
      <c r="AJ22" s="399">
        <v>0</v>
      </c>
      <c r="AK22" s="399"/>
      <c r="AL22" s="142">
        <v>0</v>
      </c>
      <c r="AM22" s="142">
        <v>0</v>
      </c>
      <c r="AV22" s="272"/>
      <c r="AW22" s="93">
        <f ca="1">IF(AY24=4,"  -0",AW18)</f>
        <v>18</v>
      </c>
      <c r="AX22" s="39" t="s">
        <v>2774</v>
      </c>
      <c r="AY22" s="39">
        <f ca="1">IF(AW18=0,2,0)</f>
        <v>0</v>
      </c>
      <c r="AZ22" s="39"/>
      <c r="BA22" s="39">
        <v>5</v>
      </c>
      <c r="BB22" s="39">
        <f t="shared" ca="1" si="11"/>
        <v>-1</v>
      </c>
      <c r="BC22" s="39">
        <f t="shared" ca="1" si="12"/>
        <v>1</v>
      </c>
      <c r="BD22" s="39"/>
      <c r="BE22" s="39">
        <v>5</v>
      </c>
      <c r="BF22" s="39">
        <f t="shared" ca="1" si="13"/>
        <v>-1</v>
      </c>
      <c r="BG22" s="39">
        <f t="shared" ca="1" si="14"/>
        <v>1</v>
      </c>
      <c r="BH22" s="272"/>
      <c r="BJ22" s="1" t="s">
        <v>3504</v>
      </c>
      <c r="BK22" s="1"/>
      <c r="BO22" s="414">
        <f ca="1">BO21</f>
        <v>1</v>
      </c>
      <c r="BQ22" s="42">
        <v>2010</v>
      </c>
      <c r="BR22" s="42">
        <v>17.263886606668414</v>
      </c>
      <c r="BU22" s="371"/>
      <c r="BV22" s="42">
        <v>10</v>
      </c>
      <c r="BW22" s="42">
        <v>31</v>
      </c>
      <c r="BX22" s="42">
        <v>17.954735883424409</v>
      </c>
      <c r="CC22" s="272"/>
      <c r="CD22" s="73">
        <f ca="1">IF(CF17=1,CN45,CN49)</f>
        <v>7</v>
      </c>
      <c r="CE22" s="39"/>
      <c r="CF22" s="39"/>
      <c r="CG22" s="39"/>
      <c r="CH22" s="39">
        <v>10</v>
      </c>
      <c r="CI22" s="39">
        <f t="shared" ca="1" si="7"/>
        <v>7.5602866586212087</v>
      </c>
      <c r="CJ22" s="39">
        <f t="shared" ca="1" si="8"/>
        <v>0</v>
      </c>
      <c r="CK22" s="39"/>
      <c r="CL22" s="39">
        <v>10</v>
      </c>
      <c r="CM22" s="39">
        <f t="shared" ca="1" si="9"/>
        <v>-1</v>
      </c>
      <c r="CN22" s="39">
        <f t="shared" ca="1" si="10"/>
        <v>10</v>
      </c>
      <c r="CO22" s="272"/>
    </row>
    <row r="23" spans="1:93">
      <c r="A23" s="140"/>
      <c r="B23" s="140"/>
      <c r="C23" s="140"/>
      <c r="D23" s="140"/>
      <c r="E23" s="217"/>
      <c r="F23" s="415"/>
      <c r="G23" s="416" t="s">
        <v>3440</v>
      </c>
      <c r="H23" s="217"/>
      <c r="I23" s="382">
        <f ca="1">AS74</f>
        <v>18</v>
      </c>
      <c r="J23" s="404" t="s">
        <v>3749</v>
      </c>
      <c r="K23" s="417" t="s">
        <v>3419</v>
      </c>
      <c r="L23" s="418" t="s">
        <v>3742</v>
      </c>
      <c r="M23" s="413"/>
      <c r="N23" s="220"/>
      <c r="O23" s="140"/>
      <c r="P23" s="140"/>
      <c r="Q23" s="140"/>
      <c r="R23" s="140"/>
      <c r="U23" s="372" t="s">
        <v>3505</v>
      </c>
      <c r="V23" s="364">
        <f>V4</f>
        <v>23.907699999999998</v>
      </c>
      <c r="Y23" s="61" t="s">
        <v>2762</v>
      </c>
      <c r="Z23" s="419">
        <f ca="1">IF(AB18=1,0,AB11)</f>
        <v>0</v>
      </c>
      <c r="AE23" s="42">
        <v>1</v>
      </c>
      <c r="AF23" s="42">
        <v>31</v>
      </c>
      <c r="AG23" s="344">
        <v>0</v>
      </c>
      <c r="AH23" s="394">
        <v>6.6003612903225803E-2</v>
      </c>
      <c r="AI23" s="313">
        <v>0</v>
      </c>
      <c r="AJ23" s="41">
        <v>6.603046594982083E-2</v>
      </c>
      <c r="AK23" s="41"/>
      <c r="AL23" s="401">
        <v>-2.6853046595026742E-5</v>
      </c>
      <c r="AM23" s="401">
        <v>0</v>
      </c>
      <c r="AO23" s="63" t="s">
        <v>3506</v>
      </c>
      <c r="AV23" s="272"/>
      <c r="AW23" s="93">
        <f ca="1">BG38</f>
        <v>28</v>
      </c>
      <c r="AX23" s="39"/>
      <c r="AY23" s="39">
        <f ca="1">AY9</f>
        <v>1</v>
      </c>
      <c r="AZ23" s="39"/>
      <c r="BA23" s="39">
        <v>4</v>
      </c>
      <c r="BB23" s="39">
        <f ca="1">IF(BA23&gt;BB22,BB22,-1)</f>
        <v>-1</v>
      </c>
      <c r="BC23" s="39">
        <f t="shared" ca="1" si="12"/>
        <v>1</v>
      </c>
      <c r="BD23" s="39"/>
      <c r="BE23" s="39">
        <v>4</v>
      </c>
      <c r="BF23" s="39">
        <f ca="1">IF(BE23&gt;BF22,BF22,-1)</f>
        <v>-1</v>
      </c>
      <c r="BG23" s="39">
        <f t="shared" ca="1" si="14"/>
        <v>1</v>
      </c>
      <c r="BH23" s="272"/>
      <c r="BJ23" s="1" t="s">
        <v>3507</v>
      </c>
      <c r="BK23" s="1"/>
      <c r="BM23" s="1" t="s">
        <v>3508</v>
      </c>
      <c r="BQ23" s="42">
        <v>2011</v>
      </c>
      <c r="BR23" s="42">
        <v>17.280575977777694</v>
      </c>
      <c r="BU23" s="371"/>
      <c r="BV23" s="42">
        <v>11</v>
      </c>
      <c r="BW23" s="42">
        <v>30</v>
      </c>
      <c r="BX23" s="42">
        <v>19.986111111111111</v>
      </c>
      <c r="BZ23" s="1" t="s">
        <v>3509</v>
      </c>
      <c r="CA23" s="1">
        <f>CA21-CA12</f>
        <v>6.0923000000000016</v>
      </c>
      <c r="CC23" s="272"/>
      <c r="CD23" s="73">
        <f ca="1">IF(CF17=1,CN46,CN50)</f>
        <v>33</v>
      </c>
      <c r="CE23" s="39"/>
      <c r="CF23" s="39"/>
      <c r="CG23" s="39"/>
      <c r="CH23" s="39"/>
      <c r="CI23" s="39"/>
      <c r="CJ23" s="279">
        <f ca="1">SUM(CJ13:CJ22)</f>
        <v>0</v>
      </c>
      <c r="CK23" s="39"/>
      <c r="CL23" s="39"/>
      <c r="CM23" s="39"/>
      <c r="CN23" s="279">
        <f ca="1">SUM(CN13:CN22)</f>
        <v>30</v>
      </c>
      <c r="CO23" s="272"/>
    </row>
    <row r="24" spans="1:93">
      <c r="A24" s="140"/>
      <c r="B24" s="140"/>
      <c r="C24" s="140"/>
      <c r="D24" s="140"/>
      <c r="E24" s="217"/>
      <c r="F24" s="415"/>
      <c r="G24" s="416" t="s">
        <v>3443</v>
      </c>
      <c r="H24" s="217"/>
      <c r="I24" s="382">
        <f ca="1">AS75</f>
        <v>28</v>
      </c>
      <c r="J24" s="420" t="s">
        <v>3510</v>
      </c>
      <c r="K24" s="228"/>
      <c r="L24" s="418" t="s">
        <v>3743</v>
      </c>
      <c r="M24" s="413"/>
      <c r="N24" s="220"/>
      <c r="O24" s="140"/>
      <c r="P24" s="140"/>
      <c r="Q24" s="140"/>
      <c r="R24" s="140"/>
      <c r="U24" s="1" t="s">
        <v>2680</v>
      </c>
      <c r="V24" s="1" t="b">
        <f>ISNUMBER(V23)</f>
        <v>1</v>
      </c>
      <c r="Y24" s="69">
        <v>0</v>
      </c>
      <c r="Z24" s="143">
        <v>0</v>
      </c>
      <c r="AE24" s="42">
        <v>2</v>
      </c>
      <c r="AF24" s="42">
        <v>29</v>
      </c>
      <c r="AG24" s="344">
        <v>31</v>
      </c>
      <c r="AH24" s="394">
        <v>6.6044034482758612E-2</v>
      </c>
      <c r="AI24" s="313">
        <v>2.0461119999999999</v>
      </c>
      <c r="AJ24" s="41">
        <v>6.6120689655172302E-2</v>
      </c>
      <c r="AK24" s="41">
        <v>2.0469444444444456</v>
      </c>
      <c r="AL24" s="401">
        <v>-7.6655172413689354E-5</v>
      </c>
      <c r="AM24" s="401">
        <v>-8.324444444456347E-4</v>
      </c>
      <c r="AO24" s="1" t="s">
        <v>3511</v>
      </c>
      <c r="AP24" s="61">
        <f ca="1">V129</f>
        <v>2020</v>
      </c>
      <c r="AV24" s="272"/>
      <c r="AW24" s="93">
        <f ca="1">BG39</f>
        <v>2.7884788801910076</v>
      </c>
      <c r="AX24" s="39"/>
      <c r="AY24" s="39">
        <f ca="1">AY23+AY22</f>
        <v>1</v>
      </c>
      <c r="AZ24" s="39"/>
      <c r="BA24" s="39">
        <v>3</v>
      </c>
      <c r="BB24" s="39">
        <f t="shared" ca="1" si="11"/>
        <v>-1</v>
      </c>
      <c r="BC24" s="39">
        <f t="shared" ca="1" si="12"/>
        <v>1</v>
      </c>
      <c r="BD24" s="39"/>
      <c r="BE24" s="39">
        <v>3</v>
      </c>
      <c r="BF24" s="39">
        <f t="shared" ca="1" si="13"/>
        <v>-1</v>
      </c>
      <c r="BG24" s="39">
        <f t="shared" ca="1" si="14"/>
        <v>1</v>
      </c>
      <c r="BH24" s="272"/>
      <c r="BJ24" s="1" t="s">
        <v>3512</v>
      </c>
      <c r="BK24" s="1"/>
      <c r="BQ24" s="42">
        <v>2012</v>
      </c>
      <c r="BR24" s="42">
        <v>17.297265348886974</v>
      </c>
      <c r="BU24" s="371"/>
      <c r="BV24" s="42">
        <v>12</v>
      </c>
      <c r="BW24" s="42">
        <v>31</v>
      </c>
      <c r="BX24" s="42">
        <v>21.951958105646629</v>
      </c>
      <c r="BZ24" s="1" t="s">
        <v>3513</v>
      </c>
      <c r="CA24" s="421">
        <f>CA23/15</f>
        <v>0.40615333333333342</v>
      </c>
      <c r="CC24" s="272"/>
      <c r="CD24" s="73">
        <f ca="1">IF(CF17=1,CN47,CN51)</f>
        <v>37.031971036351479</v>
      </c>
      <c r="CE24" s="39"/>
      <c r="CF24" s="39"/>
      <c r="CG24" s="39"/>
      <c r="CH24" s="39"/>
      <c r="CI24" s="39"/>
      <c r="CJ24" s="280">
        <f ca="1">CI12-CJ23</f>
        <v>7.5602866586212087</v>
      </c>
      <c r="CK24" s="39"/>
      <c r="CL24" s="39"/>
      <c r="CM24" s="39"/>
      <c r="CN24" s="280">
        <f ca="1">CM12-CN23</f>
        <v>3.6171995172725246</v>
      </c>
      <c r="CO24" s="272"/>
    </row>
    <row r="25" spans="1:93">
      <c r="A25" s="140"/>
      <c r="B25" s="140"/>
      <c r="C25" s="140"/>
      <c r="D25" s="140"/>
      <c r="E25" s="217"/>
      <c r="F25" s="415"/>
      <c r="G25" s="416" t="s">
        <v>2731</v>
      </c>
      <c r="H25" s="217"/>
      <c r="I25" s="422">
        <f ca="1">AS76</f>
        <v>2.7884788801910076</v>
      </c>
      <c r="J25" s="404"/>
      <c r="K25" s="141"/>
      <c r="L25" s="423" t="s">
        <v>3514</v>
      </c>
      <c r="M25" s="424"/>
      <c r="N25" s="220"/>
      <c r="O25" s="140"/>
      <c r="P25" s="140"/>
      <c r="Q25" s="140"/>
      <c r="R25" s="140"/>
      <c r="U25" s="1" t="b">
        <v>0</v>
      </c>
      <c r="Y25" s="42">
        <v>2019</v>
      </c>
      <c r="Z25" s="42">
        <v>20.204999999999998</v>
      </c>
      <c r="AE25" s="42">
        <v>3</v>
      </c>
      <c r="AF25" s="42">
        <v>31</v>
      </c>
      <c r="AG25" s="344">
        <v>60</v>
      </c>
      <c r="AH25" s="394">
        <v>6.5914000000000056E-2</v>
      </c>
      <c r="AI25" s="313">
        <v>3.9613889999999996</v>
      </c>
      <c r="AJ25" s="41">
        <v>6.5994623655914006E-2</v>
      </c>
      <c r="AK25" s="41">
        <v>3.9644444444444424</v>
      </c>
      <c r="AL25" s="401">
        <v>-8.0623655913950043E-5</v>
      </c>
      <c r="AM25" s="401">
        <v>-3.0554444444428341E-3</v>
      </c>
      <c r="AP25" s="39">
        <f ca="1">IF(AB18=1,AP24,0)</f>
        <v>2020</v>
      </c>
      <c r="AV25" s="272"/>
      <c r="AW25" s="39"/>
      <c r="AX25" s="39"/>
      <c r="AY25" s="39"/>
      <c r="AZ25" s="39"/>
      <c r="BA25" s="39">
        <v>2</v>
      </c>
      <c r="BB25" s="39">
        <f t="shared" ca="1" si="11"/>
        <v>-1</v>
      </c>
      <c r="BC25" s="39">
        <f t="shared" ca="1" si="12"/>
        <v>1</v>
      </c>
      <c r="BD25" s="39"/>
      <c r="BE25" s="39">
        <v>2</v>
      </c>
      <c r="BF25" s="39">
        <f t="shared" ca="1" si="13"/>
        <v>-1</v>
      </c>
      <c r="BG25" s="39">
        <f t="shared" ca="1" si="14"/>
        <v>1</v>
      </c>
      <c r="BH25" s="272"/>
      <c r="BJ25" s="63" t="s">
        <v>3515</v>
      </c>
      <c r="BK25" s="1"/>
      <c r="BN25" s="63" t="s">
        <v>2672</v>
      </c>
      <c r="BO25" s="425">
        <f ca="1">IF(BO22=1,1,2)</f>
        <v>1</v>
      </c>
      <c r="BQ25" s="42">
        <v>2013</v>
      </c>
      <c r="BR25" s="42">
        <v>17.248415314817755</v>
      </c>
      <c r="BS25" s="332"/>
      <c r="BT25" s="39"/>
      <c r="BU25" s="371"/>
      <c r="BV25" s="70">
        <v>13</v>
      </c>
      <c r="BW25" s="70">
        <v>0</v>
      </c>
      <c r="BX25" s="70">
        <v>0</v>
      </c>
      <c r="BZ25" s="1" t="s">
        <v>3516</v>
      </c>
      <c r="CA25" s="335">
        <f>CA24/24*CA19</f>
        <v>1.1089318312091118E-3</v>
      </c>
      <c r="CC25" s="272"/>
      <c r="CD25" s="39"/>
      <c r="CE25" s="39"/>
      <c r="CF25" s="39"/>
      <c r="CG25" s="39"/>
      <c r="CH25" s="39"/>
      <c r="CI25" s="68">
        <f ca="1">CJ24</f>
        <v>7.5602866586212087</v>
      </c>
      <c r="CJ25" s="39"/>
      <c r="CK25" s="39"/>
      <c r="CL25" s="39"/>
      <c r="CM25" s="68">
        <f ca="1">CN24</f>
        <v>3.6171995172725246</v>
      </c>
      <c r="CN25" s="39"/>
      <c r="CO25" s="272"/>
    </row>
    <row r="26" spans="1:93">
      <c r="A26" s="140"/>
      <c r="B26" s="140"/>
      <c r="C26" s="140"/>
      <c r="D26" s="140"/>
      <c r="E26" s="217"/>
      <c r="F26" s="415"/>
      <c r="G26" s="426" t="s">
        <v>3517</v>
      </c>
      <c r="H26" s="409"/>
      <c r="I26" s="427"/>
      <c r="J26" s="428"/>
      <c r="K26" s="141"/>
      <c r="L26" s="429" t="s">
        <v>3518</v>
      </c>
      <c r="M26" s="430" t="s">
        <v>3519</v>
      </c>
      <c r="N26" s="220"/>
      <c r="O26" s="140"/>
      <c r="P26" s="140"/>
      <c r="Q26" s="140"/>
      <c r="R26" s="140"/>
      <c r="U26" s="335" t="s">
        <v>3520</v>
      </c>
      <c r="V26" s="335">
        <f>IF(V24=U25,1,0)</f>
        <v>0</v>
      </c>
      <c r="Y26" s="42">
        <v>2021</v>
      </c>
      <c r="Z26" s="42">
        <v>20.211388888888887</v>
      </c>
      <c r="AE26" s="42">
        <v>4</v>
      </c>
      <c r="AF26" s="42">
        <v>30</v>
      </c>
      <c r="AG26" s="344">
        <v>91</v>
      </c>
      <c r="AH26" s="394">
        <v>6.5666666666666623E-2</v>
      </c>
      <c r="AI26" s="313">
        <v>6.0047230000000011</v>
      </c>
      <c r="AJ26" s="41">
        <v>6.574074074074078E-2</v>
      </c>
      <c r="AK26" s="41">
        <v>6.0102777777777767</v>
      </c>
      <c r="AL26" s="401">
        <v>-7.4074074074156893E-5</v>
      </c>
      <c r="AM26" s="401">
        <v>-5.5547777777755769E-3</v>
      </c>
      <c r="AO26" s="431" t="s">
        <v>3521</v>
      </c>
      <c r="AV26" s="272"/>
      <c r="AW26" s="39"/>
      <c r="AX26" s="39"/>
      <c r="AY26" s="39"/>
      <c r="AZ26" s="39"/>
      <c r="BA26" s="39">
        <v>1</v>
      </c>
      <c r="BB26" s="39">
        <f t="shared" ca="1" si="11"/>
        <v>-1</v>
      </c>
      <c r="BC26" s="39">
        <f t="shared" ca="1" si="12"/>
        <v>1</v>
      </c>
      <c r="BD26" s="39"/>
      <c r="BE26" s="39">
        <v>1</v>
      </c>
      <c r="BF26" s="39">
        <f t="shared" ca="1" si="13"/>
        <v>-1</v>
      </c>
      <c r="BG26" s="39">
        <f t="shared" ca="1" si="14"/>
        <v>1</v>
      </c>
      <c r="BH26" s="272"/>
      <c r="BJ26" s="1" t="s">
        <v>3522</v>
      </c>
      <c r="BK26" s="1"/>
      <c r="BQ26" s="42">
        <v>2014</v>
      </c>
      <c r="BR26" s="42">
        <v>17.265104685927035</v>
      </c>
      <c r="BS26" s="332"/>
      <c r="BT26" s="39"/>
      <c r="BU26" s="371"/>
      <c r="BV26" s="432" t="s">
        <v>2672</v>
      </c>
      <c r="BW26" s="73">
        <f ca="1">LOOKUP(BW10,(BV12:BV25),(BW12:BW25))</f>
        <v>29</v>
      </c>
      <c r="BX26" s="73">
        <f ca="1">LOOKUP(BW10,(BV12:BV25),(BX12:BX25))</f>
        <v>2.031375227686703</v>
      </c>
      <c r="BZ26" s="1" t="s">
        <v>3523</v>
      </c>
      <c r="CA26" s="433">
        <f>CA24-CA25</f>
        <v>0.40504440150212428</v>
      </c>
      <c r="CC26" s="272"/>
      <c r="CD26" s="91">
        <f ca="1">IF(CF18=0,0,CD22)</f>
        <v>7</v>
      </c>
      <c r="CE26" s="39"/>
      <c r="CF26" s="39"/>
      <c r="CG26" s="39"/>
      <c r="CH26" s="39">
        <v>9</v>
      </c>
      <c r="CI26" s="39">
        <f ca="1">IF(CH26&gt;CI25,CI25,-1)</f>
        <v>7.5602866586212087</v>
      </c>
      <c r="CJ26" s="39">
        <f ca="1">IF(CI26=-1,1,0)</f>
        <v>0</v>
      </c>
      <c r="CK26" s="39"/>
      <c r="CL26" s="39">
        <v>9</v>
      </c>
      <c r="CM26" s="39">
        <f ca="1">IF(CL26&gt;CM25,CM25,-1)</f>
        <v>3.6171995172725246</v>
      </c>
      <c r="CN26" s="39">
        <f ca="1">IF(CM26=-1,1,0)</f>
        <v>0</v>
      </c>
      <c r="CO26" s="272"/>
    </row>
    <row r="27" spans="1:93">
      <c r="A27" s="140"/>
      <c r="B27" s="140"/>
      <c r="C27" s="140"/>
      <c r="D27" s="140"/>
      <c r="E27" s="217"/>
      <c r="F27" s="415"/>
      <c r="G27" s="434" t="s">
        <v>3524</v>
      </c>
      <c r="H27" s="215"/>
      <c r="I27" s="215"/>
      <c r="J27" s="411"/>
      <c r="K27" s="428"/>
      <c r="L27" s="435" t="s">
        <v>3525</v>
      </c>
      <c r="M27" s="436">
        <v>22.198399999999999</v>
      </c>
      <c r="N27" s="220"/>
      <c r="O27" s="140"/>
      <c r="P27" s="140"/>
      <c r="Q27" s="140"/>
      <c r="R27" s="140"/>
      <c r="U27" s="1" t="s">
        <v>3526</v>
      </c>
      <c r="V27" s="1">
        <f>IF(V24=U25,0,V23)</f>
        <v>23.907699999999998</v>
      </c>
      <c r="Y27" s="42">
        <v>2022</v>
      </c>
      <c r="Z27" s="42">
        <v>20.249166666666667</v>
      </c>
      <c r="AE27" s="42">
        <v>5</v>
      </c>
      <c r="AF27" s="42">
        <v>31</v>
      </c>
      <c r="AG27" s="344">
        <v>121</v>
      </c>
      <c r="AH27" s="394">
        <v>6.5358419354838715E-2</v>
      </c>
      <c r="AI27" s="313">
        <v>7.974723</v>
      </c>
      <c r="AJ27" s="41">
        <v>6.5394265232974882E-2</v>
      </c>
      <c r="AK27" s="41">
        <v>7.9824999999999999</v>
      </c>
      <c r="AL27" s="401">
        <v>-3.5845878136167575E-5</v>
      </c>
      <c r="AM27" s="401">
        <v>-7.7769999999999229E-3</v>
      </c>
      <c r="AO27" s="1" t="s">
        <v>3527</v>
      </c>
      <c r="AP27" s="1">
        <f ca="1">AP25-2020</f>
        <v>0</v>
      </c>
      <c r="AV27" s="272"/>
      <c r="AW27" s="39"/>
      <c r="AX27" s="39"/>
      <c r="AY27" s="39"/>
      <c r="AZ27" s="39"/>
      <c r="BA27" s="39"/>
      <c r="BB27" s="39"/>
      <c r="BC27" s="279">
        <f ca="1">SUM(BC18:BC26)</f>
        <v>8</v>
      </c>
      <c r="BD27" s="39"/>
      <c r="BE27" s="39"/>
      <c r="BF27" s="39"/>
      <c r="BG27" s="279">
        <f ca="1">SUM(BG18:BG26)</f>
        <v>8</v>
      </c>
      <c r="BH27" s="272"/>
      <c r="BJ27" s="1" t="s">
        <v>3528</v>
      </c>
      <c r="BK27" s="1"/>
      <c r="BP27" s="414"/>
      <c r="BQ27" s="42">
        <v>2015</v>
      </c>
      <c r="BR27" s="42">
        <v>17.281794057036315</v>
      </c>
      <c r="BS27" s="332"/>
      <c r="BT27" s="39"/>
      <c r="BU27" s="371"/>
      <c r="BZ27" s="1" t="s">
        <v>3529</v>
      </c>
      <c r="CA27" s="59">
        <f ca="1">CA18-CA26</f>
        <v>1.6263308261845788</v>
      </c>
      <c r="CC27" s="272"/>
      <c r="CD27" s="91">
        <f ca="1">IF(CF18=0,0,CD23)</f>
        <v>33</v>
      </c>
      <c r="CE27" s="39"/>
      <c r="CF27" s="39"/>
      <c r="CG27" s="39"/>
      <c r="CH27" s="39">
        <v>8</v>
      </c>
      <c r="CI27" s="39">
        <f t="shared" ref="CI27:CI34" ca="1" si="15">IF(CH27&gt;CI26,CI26,-1)</f>
        <v>7.5602866586212087</v>
      </c>
      <c r="CJ27" s="39">
        <f t="shared" ref="CJ27:CJ34" ca="1" si="16">IF(CI27=-1,1,0)</f>
        <v>0</v>
      </c>
      <c r="CK27" s="39"/>
      <c r="CL27" s="39">
        <v>8</v>
      </c>
      <c r="CM27" s="39">
        <f t="shared" ref="CM27:CM34" ca="1" si="17">IF(CL27&gt;CM26,CM26,-1)</f>
        <v>3.6171995172725246</v>
      </c>
      <c r="CN27" s="39">
        <f t="shared" ref="CN27:CN34" ca="1" si="18">IF(CM27=-1,1,0)</f>
        <v>0</v>
      </c>
      <c r="CO27" s="272"/>
    </row>
    <row r="28" spans="1:93">
      <c r="A28" s="140"/>
      <c r="B28" s="140"/>
      <c r="C28" s="140"/>
      <c r="D28" s="140"/>
      <c r="E28" s="217"/>
      <c r="F28" s="415"/>
      <c r="G28" s="423" t="s">
        <v>2810</v>
      </c>
      <c r="H28" s="423"/>
      <c r="I28" s="423" t="s">
        <v>9</v>
      </c>
      <c r="J28" s="411"/>
      <c r="K28" s="428"/>
      <c r="L28" s="437" t="s">
        <v>3530</v>
      </c>
      <c r="M28" s="438">
        <v>23.907699999999998</v>
      </c>
      <c r="N28" s="220"/>
      <c r="O28" s="140"/>
      <c r="P28" s="140"/>
      <c r="Q28" s="140"/>
      <c r="R28" s="140"/>
      <c r="U28" s="1" t="s">
        <v>3531</v>
      </c>
      <c r="V28" s="1">
        <f>IF(V27&gt;30,0,V27)</f>
        <v>23.907699999999998</v>
      </c>
      <c r="Y28" s="42">
        <v>2023</v>
      </c>
      <c r="Z28" s="42">
        <v>20.288888888888888</v>
      </c>
      <c r="AE28" s="42">
        <v>6</v>
      </c>
      <c r="AF28" s="42">
        <v>30</v>
      </c>
      <c r="AG28" s="344">
        <v>152</v>
      </c>
      <c r="AH28" s="394">
        <v>6.5129633333333339E-2</v>
      </c>
      <c r="AI28" s="313">
        <v>10.000834000000001</v>
      </c>
      <c r="AJ28" s="41">
        <v>6.5148148148148149E-2</v>
      </c>
      <c r="AK28" s="41">
        <v>10.009722222222221</v>
      </c>
      <c r="AL28" s="401">
        <v>-1.8514814814810099E-5</v>
      </c>
      <c r="AM28" s="401">
        <v>-8.8882222222199658E-3</v>
      </c>
      <c r="AO28" s="1" t="s">
        <v>3532</v>
      </c>
      <c r="AP28" s="1">
        <f ca="1">AP27/20*AL36</f>
        <v>0</v>
      </c>
      <c r="AV28" s="272"/>
      <c r="AW28" s="39"/>
      <c r="AX28" s="39"/>
      <c r="AY28" s="39"/>
      <c r="AZ28" s="39"/>
      <c r="BC28" s="82">
        <f ca="1">BC27+BC15</f>
        <v>18</v>
      </c>
      <c r="BH28" s="272"/>
      <c r="BJ28" s="1" t="s">
        <v>3533</v>
      </c>
      <c r="BK28" s="1"/>
      <c r="BQ28" s="38">
        <v>2016</v>
      </c>
      <c r="BR28" s="38">
        <v>17.298483428145595</v>
      </c>
      <c r="BS28" s="332"/>
      <c r="BT28" s="44"/>
      <c r="BU28" s="371"/>
      <c r="BZ28" s="1" t="s">
        <v>3534</v>
      </c>
      <c r="CA28" s="1">
        <f ca="1">CA14-1</f>
        <v>2</v>
      </c>
      <c r="CC28" s="272"/>
      <c r="CD28" s="91">
        <f ca="1">IF(CF18=0,0,CD24)</f>
        <v>37.031971036351479</v>
      </c>
      <c r="CE28" s="39"/>
      <c r="CF28" s="39"/>
      <c r="CG28" s="39"/>
      <c r="CH28" s="39">
        <v>7</v>
      </c>
      <c r="CI28" s="39">
        <f t="shared" ca="1" si="15"/>
        <v>-1</v>
      </c>
      <c r="CJ28" s="39">
        <f t="shared" ca="1" si="16"/>
        <v>1</v>
      </c>
      <c r="CK28" s="39"/>
      <c r="CL28" s="39">
        <v>7</v>
      </c>
      <c r="CM28" s="39">
        <f t="shared" ca="1" si="17"/>
        <v>3.6171995172725246</v>
      </c>
      <c r="CN28" s="39">
        <f t="shared" ca="1" si="18"/>
        <v>0</v>
      </c>
      <c r="CO28" s="272"/>
    </row>
    <row r="29" spans="1:93">
      <c r="A29" s="140"/>
      <c r="B29" s="140"/>
      <c r="C29" s="140"/>
      <c r="D29" s="140"/>
      <c r="E29" s="217"/>
      <c r="F29" s="439"/>
      <c r="G29" s="382">
        <f ca="1">AS82</f>
        <v>31</v>
      </c>
      <c r="H29" s="440"/>
      <c r="I29" s="382">
        <f ca="1">AS81</f>
        <v>23</v>
      </c>
      <c r="J29" s="418"/>
      <c r="K29" s="441"/>
      <c r="L29" s="442" t="s">
        <v>3535</v>
      </c>
      <c r="M29" s="438">
        <v>23.945799999999998</v>
      </c>
      <c r="N29" s="220"/>
      <c r="O29" s="140"/>
      <c r="P29" s="140"/>
      <c r="Q29" s="140"/>
      <c r="R29" s="140"/>
      <c r="U29" s="1" t="s">
        <v>3536</v>
      </c>
      <c r="V29" s="443">
        <f>IF(V28&lt;19.36,0,V28)</f>
        <v>23.907699999999998</v>
      </c>
      <c r="Y29" s="42">
        <v>2025</v>
      </c>
      <c r="Z29" s="42">
        <v>20.307777777777776</v>
      </c>
      <c r="AE29" s="42">
        <v>7</v>
      </c>
      <c r="AF29" s="42">
        <v>31</v>
      </c>
      <c r="AG29" s="344">
        <v>182</v>
      </c>
      <c r="AH29" s="394">
        <v>6.5000000000000016E-2</v>
      </c>
      <c r="AI29" s="313">
        <v>11.954723000000001</v>
      </c>
      <c r="AJ29" s="41">
        <v>6.492831541218641E-2</v>
      </c>
      <c r="AK29" s="41">
        <v>11.964166666666666</v>
      </c>
      <c r="AL29" s="401">
        <v>7.168458781360576E-5</v>
      </c>
      <c r="AM29" s="401">
        <v>-9.4436666666641855E-3</v>
      </c>
      <c r="AO29" s="1" t="s">
        <v>3537</v>
      </c>
      <c r="AP29" s="444">
        <f ca="1">AH36-AP28</f>
        <v>6.6044034482758612E-2</v>
      </c>
      <c r="AV29" s="272"/>
      <c r="AW29" s="39"/>
      <c r="AX29" s="39"/>
      <c r="AY29" s="39"/>
      <c r="AZ29" s="39"/>
      <c r="BA29" s="39"/>
      <c r="BB29" s="39"/>
      <c r="BC29" s="274">
        <f ca="1">BB17-BC27</f>
        <v>0.46744124413338639</v>
      </c>
      <c r="BD29" s="281">
        <f ca="1">BC29*60</f>
        <v>28.046474648003183</v>
      </c>
      <c r="BE29" s="39"/>
      <c r="BF29" s="39"/>
      <c r="BG29" s="280">
        <f ca="1">BF17-BG27</f>
        <v>4.6474648003183461E-2</v>
      </c>
      <c r="BH29" s="272"/>
      <c r="BJ29" s="1" t="s">
        <v>3538</v>
      </c>
      <c r="BK29" s="1"/>
      <c r="BQ29" s="42">
        <v>2017</v>
      </c>
      <c r="BR29" s="42">
        <v>17.249633394076376</v>
      </c>
      <c r="BS29" s="332"/>
      <c r="BT29" s="39"/>
      <c r="BU29" s="371"/>
      <c r="BZ29" s="1" t="s">
        <v>3539</v>
      </c>
      <c r="CA29" s="1">
        <f ca="1">CA28*CA19</f>
        <v>0.13105574552641208</v>
      </c>
      <c r="CC29" s="272"/>
      <c r="CD29" s="39" t="s">
        <v>2773</v>
      </c>
      <c r="CE29" s="39"/>
      <c r="CF29" s="39"/>
      <c r="CG29" s="39"/>
      <c r="CH29" s="39">
        <v>6</v>
      </c>
      <c r="CI29" s="39">
        <f t="shared" ca="1" si="15"/>
        <v>-1</v>
      </c>
      <c r="CJ29" s="39">
        <f t="shared" ca="1" si="16"/>
        <v>1</v>
      </c>
      <c r="CK29" s="39"/>
      <c r="CL29" s="39">
        <v>6</v>
      </c>
      <c r="CM29" s="39">
        <f t="shared" ca="1" si="17"/>
        <v>3.6171995172725246</v>
      </c>
      <c r="CN29" s="39">
        <f t="shared" ca="1" si="18"/>
        <v>0</v>
      </c>
      <c r="CO29" s="272"/>
    </row>
    <row r="30" spans="1:93">
      <c r="A30" s="140"/>
      <c r="B30" s="140"/>
      <c r="C30" s="140"/>
      <c r="D30" s="140"/>
      <c r="E30" s="217"/>
      <c r="F30" s="389"/>
      <c r="G30" s="445" t="s">
        <v>3540</v>
      </c>
      <c r="H30" s="446"/>
      <c r="I30" s="445"/>
      <c r="J30" s="216"/>
      <c r="K30" s="217"/>
      <c r="L30" s="447" t="s">
        <v>3541</v>
      </c>
      <c r="M30" s="438">
        <v>23.284700000000001</v>
      </c>
      <c r="N30" s="220"/>
      <c r="O30" s="140"/>
      <c r="P30" s="140"/>
      <c r="Q30" s="140"/>
      <c r="R30" s="140"/>
      <c r="U30" s="1" t="s">
        <v>3542</v>
      </c>
      <c r="V30" s="1">
        <f>IF(V29=0,2,0)</f>
        <v>0</v>
      </c>
      <c r="Y30" s="42">
        <v>2026</v>
      </c>
      <c r="Z30" s="42">
        <v>20.352499999999999</v>
      </c>
      <c r="AE30" s="42">
        <v>8</v>
      </c>
      <c r="AF30" s="42">
        <v>31</v>
      </c>
      <c r="AG30" s="344">
        <v>213</v>
      </c>
      <c r="AH30" s="394">
        <v>6.4973096774193537E-2</v>
      </c>
      <c r="AI30" s="313">
        <v>13.969723000000002</v>
      </c>
      <c r="AJ30" s="41">
        <v>6.4874551971326161E-2</v>
      </c>
      <c r="AK30" s="41">
        <v>13.976944444444445</v>
      </c>
      <c r="AL30" s="401">
        <v>9.8544802867375769E-5</v>
      </c>
      <c r="AM30" s="401">
        <v>-7.2214444444433923E-3</v>
      </c>
      <c r="AO30" s="371" t="s">
        <v>3484</v>
      </c>
      <c r="AV30" s="272"/>
      <c r="AW30" s="39"/>
      <c r="AZ30" s="39"/>
      <c r="BA30" s="39" t="s">
        <v>2775</v>
      </c>
      <c r="BB30" s="39"/>
      <c r="BC30" s="39"/>
      <c r="BD30" s="39"/>
      <c r="BE30" s="39" t="s">
        <v>2776</v>
      </c>
      <c r="BF30" s="39"/>
      <c r="BG30" s="39">
        <f ca="1">BF5-BG29</f>
        <v>28</v>
      </c>
      <c r="BH30" s="272"/>
      <c r="BJ30" s="1" t="s">
        <v>3543</v>
      </c>
      <c r="BK30" s="1"/>
      <c r="BM30" s="63" t="s">
        <v>3544</v>
      </c>
      <c r="BP30" s="414"/>
      <c r="BQ30" s="42">
        <v>2018</v>
      </c>
      <c r="BR30" s="42">
        <v>17.266322765185656</v>
      </c>
      <c r="BS30" s="332"/>
      <c r="BT30" s="39"/>
      <c r="BU30" s="371"/>
      <c r="BW30" s="63" t="s">
        <v>3545</v>
      </c>
      <c r="BZ30" s="1" t="s">
        <v>3546</v>
      </c>
      <c r="CA30" s="1">
        <f ca="1">CA29+CA27</f>
        <v>1.7573865717109909</v>
      </c>
      <c r="CC30" s="272"/>
      <c r="CD30" s="93">
        <f ca="1">IF(CF32=4,"  -0",CD26)</f>
        <v>7</v>
      </c>
      <c r="CE30" s="39" t="s">
        <v>2774</v>
      </c>
      <c r="CF30" s="39">
        <f ca="1">IF(CD26=0,2,0)</f>
        <v>0</v>
      </c>
      <c r="CG30" s="39"/>
      <c r="CH30" s="39">
        <v>5</v>
      </c>
      <c r="CI30" s="39">
        <f t="shared" ca="1" si="15"/>
        <v>-1</v>
      </c>
      <c r="CJ30" s="39">
        <f t="shared" ca="1" si="16"/>
        <v>1</v>
      </c>
      <c r="CK30" s="39"/>
      <c r="CL30" s="39">
        <v>5</v>
      </c>
      <c r="CM30" s="39">
        <f t="shared" ca="1" si="17"/>
        <v>3.6171995172725246</v>
      </c>
      <c r="CN30" s="39">
        <f t="shared" ca="1" si="18"/>
        <v>0</v>
      </c>
      <c r="CO30" s="272"/>
    </row>
    <row r="31" spans="1:93">
      <c r="A31" s="140"/>
      <c r="B31" s="140"/>
      <c r="C31" s="140"/>
      <c r="D31" s="140"/>
      <c r="E31" s="217"/>
      <c r="F31" s="530"/>
      <c r="G31" s="531"/>
      <c r="H31" s="7"/>
      <c r="I31" s="7"/>
      <c r="J31" s="7"/>
      <c r="K31" s="7"/>
      <c r="L31" s="447" t="s">
        <v>3548</v>
      </c>
      <c r="M31" s="438">
        <v>23.153600000000001</v>
      </c>
      <c r="N31" s="220"/>
      <c r="O31" s="140"/>
      <c r="P31" s="140"/>
      <c r="Q31" s="140"/>
      <c r="R31" s="140"/>
      <c r="U31" s="1" t="s">
        <v>3480</v>
      </c>
      <c r="V31" s="20">
        <f>IF(V26=1,1,V30)</f>
        <v>0</v>
      </c>
      <c r="Y31" s="42">
        <v>2027</v>
      </c>
      <c r="Z31" s="42">
        <v>20.398055555555555</v>
      </c>
      <c r="AE31" s="42">
        <v>9</v>
      </c>
      <c r="AF31" s="42">
        <v>30</v>
      </c>
      <c r="AG31" s="344">
        <v>244</v>
      </c>
      <c r="AH31" s="394">
        <v>6.5064833333333336E-2</v>
      </c>
      <c r="AI31" s="313">
        <v>15.983889000000001</v>
      </c>
      <c r="AJ31" s="41">
        <v>6.4944444444444444E-2</v>
      </c>
      <c r="AK31" s="41">
        <v>15.988055555555556</v>
      </c>
      <c r="AL31" s="401">
        <v>1.203888888888921E-4</v>
      </c>
      <c r="AM31" s="401">
        <v>-4.1665555555550071E-3</v>
      </c>
      <c r="AO31" s="1" t="s">
        <v>3527</v>
      </c>
      <c r="AP31" s="1">
        <f ca="1">AP25-2020</f>
        <v>0</v>
      </c>
      <c r="AV31" s="272"/>
      <c r="AW31" s="39"/>
      <c r="AZ31" s="39"/>
      <c r="BA31" s="39"/>
      <c r="BB31" s="39"/>
      <c r="BC31" s="39"/>
      <c r="BD31" s="39"/>
      <c r="BE31" s="39" t="s">
        <v>2764</v>
      </c>
      <c r="BF31" s="39"/>
      <c r="BG31" s="39">
        <f ca="1">BG29*60</f>
        <v>2.7884788801910076</v>
      </c>
      <c r="BH31" s="272"/>
      <c r="BJ31" s="1" t="s">
        <v>3549</v>
      </c>
      <c r="BK31" s="1"/>
      <c r="BM31" s="1" t="s">
        <v>3550</v>
      </c>
      <c r="BQ31" s="42">
        <v>2019</v>
      </c>
      <c r="BR31" s="42">
        <v>17.283012136294936</v>
      </c>
      <c r="BS31" s="332"/>
      <c r="BT31" s="39"/>
      <c r="BU31" s="371"/>
      <c r="BV31" s="175" t="s">
        <v>2665</v>
      </c>
      <c r="BW31" s="449">
        <f ca="1">IF(BO25=2,CA13,0)</f>
        <v>0</v>
      </c>
      <c r="BX31" s="69" t="s">
        <v>3457</v>
      </c>
      <c r="BZ31" s="1" t="s">
        <v>3551</v>
      </c>
      <c r="CA31" s="82">
        <f ca="1">CA11-CA30</f>
        <v>15.542314935693224</v>
      </c>
      <c r="CC31" s="272"/>
      <c r="CD31" s="93">
        <f ca="1">CN46</f>
        <v>33</v>
      </c>
      <c r="CE31" s="39"/>
      <c r="CF31" s="39">
        <f ca="1">CF17</f>
        <v>1</v>
      </c>
      <c r="CG31" s="39"/>
      <c r="CH31" s="39">
        <v>4</v>
      </c>
      <c r="CI31" s="39">
        <f t="shared" ca="1" si="15"/>
        <v>-1</v>
      </c>
      <c r="CJ31" s="39">
        <f t="shared" ca="1" si="16"/>
        <v>1</v>
      </c>
      <c r="CK31" s="39"/>
      <c r="CL31" s="39">
        <v>4</v>
      </c>
      <c r="CM31" s="39">
        <f t="shared" ca="1" si="17"/>
        <v>3.6171995172725246</v>
      </c>
      <c r="CN31" s="39">
        <f t="shared" ca="1" si="18"/>
        <v>0</v>
      </c>
      <c r="CO31" s="272"/>
    </row>
    <row r="32" spans="1:93">
      <c r="A32" s="140"/>
      <c r="B32" s="140"/>
      <c r="C32" s="140"/>
      <c r="D32" s="140"/>
      <c r="E32" s="217"/>
      <c r="F32" s="530"/>
      <c r="G32" s="531" t="s">
        <v>3866</v>
      </c>
      <c r="H32" s="7"/>
      <c r="I32" s="7"/>
      <c r="J32" s="7"/>
      <c r="K32" s="7"/>
      <c r="L32" s="447" t="s">
        <v>3552</v>
      </c>
      <c r="M32" s="455">
        <v>24.7179</v>
      </c>
      <c r="N32" s="456"/>
      <c r="O32" s="140"/>
      <c r="P32" s="140"/>
      <c r="Q32" s="140"/>
      <c r="R32" s="140"/>
      <c r="U32" s="1" t="str">
        <f>""</f>
        <v/>
      </c>
      <c r="V32" s="1">
        <v>0</v>
      </c>
      <c r="Y32" s="42">
        <v>2029</v>
      </c>
      <c r="Z32" s="42">
        <v>20.426388888888887</v>
      </c>
      <c r="AE32" s="42">
        <v>10</v>
      </c>
      <c r="AF32" s="42">
        <v>31</v>
      </c>
      <c r="AG32" s="344">
        <v>274</v>
      </c>
      <c r="AH32" s="394">
        <v>6.5250903225806442E-2</v>
      </c>
      <c r="AI32" s="313">
        <v>17.935834</v>
      </c>
      <c r="AJ32" s="41">
        <v>6.5134408602150529E-2</v>
      </c>
      <c r="AK32" s="41">
        <v>17.936388888888889</v>
      </c>
      <c r="AL32" s="401">
        <v>1.1649462365591334E-4</v>
      </c>
      <c r="AM32" s="401">
        <v>-5.5488888888888255E-4</v>
      </c>
      <c r="AO32" s="1" t="s">
        <v>3532</v>
      </c>
      <c r="AP32" s="1">
        <f ca="1">AP31/20*AM36</f>
        <v>0</v>
      </c>
      <c r="AQ32" s="62"/>
      <c r="AT32" s="62"/>
      <c r="AV32" s="272"/>
      <c r="AW32" s="39"/>
      <c r="AZ32" s="39"/>
      <c r="BA32" s="39"/>
      <c r="BB32" s="39"/>
      <c r="BC32" s="39"/>
      <c r="BD32" s="39"/>
      <c r="BE32" s="39" t="s">
        <v>2777</v>
      </c>
      <c r="BF32" s="39"/>
      <c r="BG32" s="39">
        <f ca="1">BG30+1</f>
        <v>29</v>
      </c>
      <c r="BH32" s="272"/>
      <c r="BJ32" s="1" t="s">
        <v>3553</v>
      </c>
      <c r="BK32" s="1"/>
      <c r="BM32" s="1" t="s">
        <v>3554</v>
      </c>
      <c r="BQ32" s="42">
        <v>2020</v>
      </c>
      <c r="BR32" s="42">
        <v>17.299701507404215</v>
      </c>
      <c r="BS32" s="332"/>
      <c r="BT32" s="39"/>
      <c r="BU32" s="371"/>
      <c r="BV32" s="61" t="s">
        <v>3403</v>
      </c>
      <c r="BW32" s="39" t="s">
        <v>3463</v>
      </c>
      <c r="BX32" s="70" t="s">
        <v>3464</v>
      </c>
      <c r="BZ32" s="335" t="s">
        <v>3555</v>
      </c>
      <c r="CA32" s="1">
        <f>24-CA19</f>
        <v>23.934472127236795</v>
      </c>
      <c r="CC32" s="272"/>
      <c r="CD32" s="93">
        <f ca="1">CN47</f>
        <v>37.031971036351479</v>
      </c>
      <c r="CE32" s="39"/>
      <c r="CF32" s="39">
        <f ca="1">CF31+CF30</f>
        <v>1</v>
      </c>
      <c r="CG32" s="39"/>
      <c r="CH32" s="39">
        <v>3</v>
      </c>
      <c r="CI32" s="39">
        <f t="shared" ca="1" si="15"/>
        <v>-1</v>
      </c>
      <c r="CJ32" s="39">
        <f t="shared" ca="1" si="16"/>
        <v>1</v>
      </c>
      <c r="CK32" s="39"/>
      <c r="CL32" s="39">
        <v>3</v>
      </c>
      <c r="CM32" s="39">
        <f t="shared" ca="1" si="17"/>
        <v>-1</v>
      </c>
      <c r="CN32" s="39">
        <f t="shared" ca="1" si="18"/>
        <v>1</v>
      </c>
      <c r="CO32" s="272"/>
    </row>
    <row r="33" spans="1:93">
      <c r="A33" s="140"/>
      <c r="B33" s="140"/>
      <c r="C33" s="140"/>
      <c r="D33" s="140"/>
      <c r="E33" s="217"/>
      <c r="F33" s="530"/>
      <c r="G33" s="532" t="s">
        <v>9</v>
      </c>
      <c r="H33" s="532"/>
      <c r="I33" s="532" t="s">
        <v>10</v>
      </c>
      <c r="J33" s="7"/>
      <c r="K33" s="7"/>
      <c r="L33" s="447" t="s">
        <v>3557</v>
      </c>
      <c r="M33" s="455">
        <v>21.66</v>
      </c>
      <c r="N33" s="456"/>
      <c r="O33" s="140"/>
      <c r="P33" s="140"/>
      <c r="Q33" s="140"/>
      <c r="R33" s="140"/>
      <c r="U33" s="1" t="s">
        <v>3741</v>
      </c>
      <c r="V33" s="1">
        <v>1</v>
      </c>
      <c r="Y33" s="42">
        <v>2030</v>
      </c>
      <c r="Z33" s="42">
        <v>20.473611111111111</v>
      </c>
      <c r="AE33" s="42">
        <v>11</v>
      </c>
      <c r="AF33" s="42">
        <v>30</v>
      </c>
      <c r="AG33" s="344">
        <v>305</v>
      </c>
      <c r="AH33" s="394">
        <v>6.5501773999999999E-2</v>
      </c>
      <c r="AI33" s="313">
        <v>19.958611999999999</v>
      </c>
      <c r="AJ33" s="41">
        <v>6.5421146953404979E-2</v>
      </c>
      <c r="AK33" s="41">
        <v>19.955555555555556</v>
      </c>
      <c r="AL33" s="401">
        <v>8.0627046595019292E-5</v>
      </c>
      <c r="AM33" s="401">
        <v>3.0564444444429739E-3</v>
      </c>
      <c r="AO33" s="1" t="s">
        <v>3537</v>
      </c>
      <c r="AP33" s="444">
        <f ca="1">AI36-AP32</f>
        <v>2.0461119999999999</v>
      </c>
      <c r="AQ33" s="62"/>
      <c r="AT33" s="62"/>
      <c r="AV33" s="272"/>
      <c r="AW33" s="39"/>
      <c r="AZ33" s="39"/>
      <c r="BA33" s="39"/>
      <c r="BB33" s="39"/>
      <c r="BC33" s="39"/>
      <c r="BD33" s="39"/>
      <c r="BE33" s="39" t="s">
        <v>2776</v>
      </c>
      <c r="BF33" s="39"/>
      <c r="BG33" s="39">
        <f ca="1">IF(BG31&gt;59.999999,BG32,BG30)</f>
        <v>28</v>
      </c>
      <c r="BH33" s="272"/>
      <c r="BJ33" s="1" t="s">
        <v>3558</v>
      </c>
      <c r="BK33" s="1"/>
      <c r="BM33" s="1" t="s">
        <v>3559</v>
      </c>
      <c r="BO33" s="460">
        <v>36891</v>
      </c>
      <c r="BQ33" s="42">
        <v>2021</v>
      </c>
      <c r="BR33" s="42">
        <v>17.250851473334997</v>
      </c>
      <c r="BS33" s="332"/>
      <c r="BT33" s="329"/>
      <c r="BU33" s="371"/>
      <c r="BV33" s="69">
        <v>0</v>
      </c>
      <c r="BW33" s="69">
        <v>0</v>
      </c>
      <c r="BX33" s="69">
        <v>0</v>
      </c>
      <c r="BZ33" s="1" t="s">
        <v>3560</v>
      </c>
      <c r="CA33" s="1">
        <f ca="1">IF(CA31&lt;0,CA32,0)</f>
        <v>0</v>
      </c>
      <c r="CC33" s="272"/>
      <c r="CD33" s="39"/>
      <c r="CE33" s="39"/>
      <c r="CF33" s="39"/>
      <c r="CG33" s="39"/>
      <c r="CH33" s="39">
        <v>2</v>
      </c>
      <c r="CI33" s="39">
        <f t="shared" ca="1" si="15"/>
        <v>-1</v>
      </c>
      <c r="CJ33" s="39">
        <f t="shared" ca="1" si="16"/>
        <v>1</v>
      </c>
      <c r="CK33" s="39"/>
      <c r="CL33" s="39">
        <v>2</v>
      </c>
      <c r="CM33" s="39">
        <f t="shared" ca="1" si="17"/>
        <v>-1</v>
      </c>
      <c r="CN33" s="39">
        <f t="shared" ca="1" si="18"/>
        <v>1</v>
      </c>
      <c r="CO33" s="272"/>
    </row>
    <row r="34" spans="1:93">
      <c r="A34" s="140"/>
      <c r="B34" s="140"/>
      <c r="C34" s="140"/>
      <c r="D34" s="140"/>
      <c r="E34" s="217"/>
      <c r="F34" s="530"/>
      <c r="G34" s="533">
        <f ca="1">AS94</f>
        <v>6</v>
      </c>
      <c r="H34" s="534"/>
      <c r="I34" s="533">
        <f ca="1">AS95</f>
        <v>14</v>
      </c>
      <c r="J34" s="7"/>
      <c r="K34" s="7"/>
      <c r="L34" s="447"/>
      <c r="M34" s="455"/>
      <c r="N34" s="456"/>
      <c r="O34" s="140"/>
      <c r="P34" s="140"/>
      <c r="Q34" s="140"/>
      <c r="R34" s="140"/>
      <c r="U34" s="1" t="s">
        <v>3748</v>
      </c>
      <c r="V34" s="1">
        <v>2</v>
      </c>
      <c r="Y34" s="42">
        <v>2031</v>
      </c>
      <c r="Z34" s="42">
        <v>20.51861111111111</v>
      </c>
      <c r="AE34" s="42">
        <v>12</v>
      </c>
      <c r="AF34" s="42">
        <v>31</v>
      </c>
      <c r="AG34" s="344">
        <v>335</v>
      </c>
      <c r="AH34" s="394">
        <v>6.5805566666666718E-2</v>
      </c>
      <c r="AI34" s="313">
        <v>21.92366522</v>
      </c>
      <c r="AJ34" s="41">
        <v>6.5712962962962959E-2</v>
      </c>
      <c r="AK34" s="41">
        <v>21.918189964157705</v>
      </c>
      <c r="AL34" s="401">
        <v>9.2603703703758589E-5</v>
      </c>
      <c r="AM34" s="401">
        <v>5.4752558422954678E-3</v>
      </c>
      <c r="AQ34" s="62"/>
      <c r="AT34" s="62"/>
      <c r="AV34" s="272"/>
      <c r="AW34" s="39"/>
      <c r="AZ34" s="39"/>
      <c r="BA34" s="39"/>
      <c r="BB34" s="39"/>
      <c r="BC34" s="39"/>
      <c r="BD34" s="39"/>
      <c r="BE34" s="39" t="s">
        <v>2764</v>
      </c>
      <c r="BF34" s="39"/>
      <c r="BG34" s="39"/>
      <c r="BH34" s="272"/>
      <c r="BJ34" s="1" t="s">
        <v>3562</v>
      </c>
      <c r="BK34" s="1"/>
      <c r="BM34" s="1" t="s">
        <v>3563</v>
      </c>
      <c r="BQ34" s="42">
        <v>2022</v>
      </c>
      <c r="BR34" s="42">
        <v>17.267540844444277</v>
      </c>
      <c r="BS34" s="332"/>
      <c r="BT34" s="39"/>
      <c r="BU34" s="371"/>
      <c r="BV34" s="42">
        <v>1</v>
      </c>
      <c r="BW34" s="42">
        <v>31</v>
      </c>
      <c r="BX34" s="42">
        <v>0</v>
      </c>
      <c r="BZ34" s="1" t="s">
        <v>3564</v>
      </c>
      <c r="CA34" s="3">
        <f ca="1">CA31+CA33</f>
        <v>15.542314935693224</v>
      </c>
      <c r="CC34" s="272"/>
      <c r="CD34" s="39"/>
      <c r="CE34" s="39"/>
      <c r="CF34" s="39"/>
      <c r="CG34" s="39"/>
      <c r="CH34" s="39">
        <v>1</v>
      </c>
      <c r="CI34" s="39">
        <f t="shared" ca="1" si="15"/>
        <v>-1</v>
      </c>
      <c r="CJ34" s="39">
        <f t="shared" ca="1" si="16"/>
        <v>1</v>
      </c>
      <c r="CK34" s="39"/>
      <c r="CL34" s="39">
        <v>1</v>
      </c>
      <c r="CM34" s="39">
        <f t="shared" ca="1" si="17"/>
        <v>-1</v>
      </c>
      <c r="CN34" s="39">
        <f t="shared" ca="1" si="18"/>
        <v>1</v>
      </c>
      <c r="CO34" s="272"/>
    </row>
    <row r="35" spans="1:93">
      <c r="A35" s="140"/>
      <c r="B35" s="140"/>
      <c r="C35" s="140"/>
      <c r="D35" s="140"/>
      <c r="E35" s="217"/>
      <c r="F35" s="530"/>
      <c r="G35" s="7"/>
      <c r="H35" s="7"/>
      <c r="I35" s="7"/>
      <c r="J35" s="7"/>
      <c r="K35" s="7"/>
      <c r="L35" s="447"/>
      <c r="M35" s="455"/>
      <c r="N35" s="456"/>
      <c r="O35" s="140"/>
      <c r="P35" s="140"/>
      <c r="Q35" s="140"/>
      <c r="R35" s="140"/>
      <c r="U35" s="1" t="s">
        <v>2753</v>
      </c>
      <c r="V35" s="92" t="str">
        <f>LOOKUP(V31,(V32:V34),(U32:U34))</f>
        <v/>
      </c>
      <c r="Y35" s="42">
        <v>2033</v>
      </c>
      <c r="Z35" s="42">
        <v>20.541666666666668</v>
      </c>
      <c r="AE35" s="70">
        <v>13</v>
      </c>
      <c r="AF35" s="70"/>
      <c r="AG35" s="260">
        <v>0</v>
      </c>
      <c r="AH35" s="369">
        <v>0</v>
      </c>
      <c r="AI35" s="462">
        <v>0</v>
      </c>
      <c r="AJ35" s="345">
        <v>0</v>
      </c>
      <c r="AK35" s="345">
        <v>0</v>
      </c>
      <c r="AL35" s="407">
        <v>0</v>
      </c>
      <c r="AM35" s="407">
        <v>0</v>
      </c>
      <c r="AQ35" s="62"/>
      <c r="AT35" s="62"/>
      <c r="AV35" s="272"/>
      <c r="AW35" s="39"/>
      <c r="AZ35" s="39"/>
      <c r="BA35" s="39"/>
      <c r="BB35" s="39" t="s">
        <v>2778</v>
      </c>
      <c r="BC35" s="39"/>
      <c r="BD35" s="39"/>
      <c r="BE35" s="39"/>
      <c r="BF35" s="39"/>
      <c r="BG35" s="39">
        <f ca="1">IF(BG31&lt;0.000001,0,BG31)</f>
        <v>2.7884788801910076</v>
      </c>
      <c r="BH35" s="272"/>
      <c r="BJ35" s="1" t="s">
        <v>3566</v>
      </c>
      <c r="BK35" s="1"/>
      <c r="BM35" s="463" t="s">
        <v>3567</v>
      </c>
      <c r="BQ35" s="42">
        <v>2023</v>
      </c>
      <c r="BR35" s="42">
        <v>17.284230215553556</v>
      </c>
      <c r="BU35" s="371"/>
      <c r="BV35" s="42">
        <v>2</v>
      </c>
      <c r="BW35" s="42">
        <v>28</v>
      </c>
      <c r="BX35" s="42">
        <v>2.0313640556593873</v>
      </c>
      <c r="BZ35" s="63" t="s">
        <v>3568</v>
      </c>
      <c r="CC35" s="272"/>
      <c r="CD35" s="39"/>
      <c r="CE35" s="39"/>
      <c r="CF35" s="39"/>
      <c r="CG35" s="39"/>
      <c r="CH35" s="39"/>
      <c r="CI35" s="39"/>
      <c r="CJ35" s="279">
        <f ca="1">SUM(CJ26:CJ34)</f>
        <v>7</v>
      </c>
      <c r="CK35" s="39"/>
      <c r="CL35" s="39"/>
      <c r="CM35" s="39"/>
      <c r="CN35" s="279">
        <f ca="1">SUM(CN26:CN34)</f>
        <v>3</v>
      </c>
      <c r="CO35" s="272"/>
    </row>
    <row r="36" spans="1:93">
      <c r="A36" s="140"/>
      <c r="B36" s="140"/>
      <c r="C36" s="140"/>
      <c r="D36" s="140"/>
      <c r="E36" s="217"/>
      <c r="F36" s="530"/>
      <c r="G36" s="7"/>
      <c r="H36" s="7"/>
      <c r="I36" s="7"/>
      <c r="J36" s="7"/>
      <c r="K36" s="7"/>
      <c r="L36" s="464"/>
      <c r="M36" s="465"/>
      <c r="N36" s="456"/>
      <c r="O36" s="140"/>
      <c r="P36" s="140"/>
      <c r="Q36" s="140"/>
      <c r="R36" s="140"/>
      <c r="U36" s="372" t="s">
        <v>3432</v>
      </c>
      <c r="V36" s="91">
        <f ca="1">V5</f>
        <v>2</v>
      </c>
      <c r="Y36" s="42">
        <v>2034</v>
      </c>
      <c r="Z36" s="42">
        <v>20.582777777777778</v>
      </c>
      <c r="AE36" s="1" t="s">
        <v>2672</v>
      </c>
      <c r="AF36" s="73">
        <f ca="1">LOOKUP(AF20,(AE22:AE35),(AF22:AF35))</f>
        <v>29</v>
      </c>
      <c r="AG36" s="466">
        <f ca="1">LOOKUP(AF20,(AE22:AE35),(AG22:AG35))</f>
        <v>31</v>
      </c>
      <c r="AH36" s="467">
        <f ca="1">LOOKUP(AF20,(AE22:AE35),(AH22:AH35))</f>
        <v>6.6044034482758612E-2</v>
      </c>
      <c r="AI36" s="467">
        <f ca="1">LOOKUP(AF20,(AE22:AE35),(AI22:AI35))</f>
        <v>2.0461119999999999</v>
      </c>
      <c r="AJ36" s="468">
        <f ca="1">LOOKUP(AF20,(AE22:AE35),(AJ22:AJ35))</f>
        <v>6.6120689655172302E-2</v>
      </c>
      <c r="AK36" s="468">
        <f ca="1">LOOKUP(AF20,(AE22:AE35),(AK22:AK35))</f>
        <v>2.0469444444444456</v>
      </c>
      <c r="AL36" s="469">
        <f ca="1">LOOKUP(AF20,(AE22:AE35),(AL22:AL35))</f>
        <v>-7.6655172413689354E-5</v>
      </c>
      <c r="AM36" s="469">
        <f ca="1">LOOKUP(AF20,(AE22:AE35),(AM22:AM35))</f>
        <v>-8.324444444456347E-4</v>
      </c>
      <c r="AQ36" s="62"/>
      <c r="AT36" s="62"/>
      <c r="AV36" s="272"/>
      <c r="AW36" s="39"/>
      <c r="AZ36" s="39"/>
      <c r="BA36" s="39"/>
      <c r="BB36" s="39" t="s">
        <v>2779</v>
      </c>
      <c r="BC36" s="39"/>
      <c r="BD36" s="39"/>
      <c r="BE36" s="39"/>
      <c r="BF36" s="39"/>
      <c r="BG36" s="39">
        <f ca="1">IF(BG35&gt;59.999999,0,BG35)</f>
        <v>2.7884788801910076</v>
      </c>
      <c r="BH36" s="272"/>
      <c r="BJ36" s="1" t="s">
        <v>3570</v>
      </c>
      <c r="BK36" s="1"/>
      <c r="BM36" s="1">
        <v>17.293611111111112</v>
      </c>
      <c r="BO36" s="1">
        <v>17.310277777777777</v>
      </c>
      <c r="BQ36" s="42">
        <v>2024</v>
      </c>
      <c r="BR36" s="42">
        <v>17.300919586662836</v>
      </c>
      <c r="BU36" s="371"/>
      <c r="BV36" s="42">
        <v>3</v>
      </c>
      <c r="BW36" s="42">
        <v>31</v>
      </c>
      <c r="BX36" s="42">
        <v>3.8661545838925386</v>
      </c>
      <c r="CC36" s="272"/>
      <c r="CD36" s="39"/>
      <c r="CE36" s="39"/>
      <c r="CF36" s="39"/>
      <c r="CG36" s="39"/>
      <c r="CJ36" s="82">
        <f ca="1">CJ35+CJ23</f>
        <v>7</v>
      </c>
      <c r="CO36" s="272"/>
    </row>
    <row r="37" spans="1:93">
      <c r="A37" s="140"/>
      <c r="B37" s="140"/>
      <c r="C37" s="140"/>
      <c r="D37" s="140"/>
      <c r="E37" s="217"/>
      <c r="F37" s="530"/>
      <c r="G37" s="7"/>
      <c r="H37" s="7"/>
      <c r="I37" s="7"/>
      <c r="J37" s="7"/>
      <c r="K37" s="7"/>
      <c r="L37" s="447"/>
      <c r="M37" s="438"/>
      <c r="N37" s="456"/>
      <c r="O37" s="140"/>
      <c r="P37" s="140"/>
      <c r="Q37" s="140"/>
      <c r="R37" s="140"/>
      <c r="T37" s="86"/>
      <c r="U37" s="86"/>
      <c r="V37" s="86"/>
      <c r="W37" s="86"/>
      <c r="Y37" s="42">
        <v>2035</v>
      </c>
      <c r="Z37" s="42">
        <v>20.624444444444446</v>
      </c>
      <c r="AR37" s="63" t="s">
        <v>2761</v>
      </c>
      <c r="AV37" s="272"/>
      <c r="AW37" s="39"/>
      <c r="AX37" s="39"/>
      <c r="AY37" s="39"/>
      <c r="AZ37" s="39"/>
      <c r="BA37" s="39"/>
      <c r="BB37" s="39"/>
      <c r="BC37" s="39"/>
      <c r="BD37" s="39"/>
      <c r="BE37" s="39" t="s">
        <v>2780</v>
      </c>
      <c r="BF37" s="39"/>
      <c r="BG37" s="274">
        <f ca="1">BC28</f>
        <v>18</v>
      </c>
      <c r="BH37" s="272"/>
      <c r="BJ37" s="1" t="s">
        <v>3572</v>
      </c>
      <c r="BK37" s="91">
        <v>365.25635760720166</v>
      </c>
      <c r="BQ37" s="42">
        <v>2025</v>
      </c>
      <c r="BR37" s="42">
        <v>17.252069552593618</v>
      </c>
      <c r="BU37" s="371"/>
      <c r="BV37" s="42">
        <v>4</v>
      </c>
      <c r="BW37" s="42">
        <v>30</v>
      </c>
      <c r="BX37" s="42">
        <v>5.8975298115792416</v>
      </c>
      <c r="BZ37" s="1" t="s">
        <v>3476</v>
      </c>
      <c r="CA37" s="61">
        <f ca="1">CA15</f>
        <v>17.988888888888887</v>
      </c>
      <c r="CC37" s="272"/>
      <c r="CD37" s="39"/>
      <c r="CE37" s="39"/>
      <c r="CF37" s="39"/>
      <c r="CG37" s="39"/>
      <c r="CH37" s="39"/>
      <c r="CI37" s="39"/>
      <c r="CJ37" s="274">
        <f ca="1">CI25-CJ35</f>
        <v>0.56028665862120874</v>
      </c>
      <c r="CK37" s="281">
        <f ca="1">CJ37*60</f>
        <v>33.617199517272525</v>
      </c>
      <c r="CL37" s="39"/>
      <c r="CM37" s="39"/>
      <c r="CN37" s="280">
        <f ca="1">CM25-CN35</f>
        <v>0.61719951727252464</v>
      </c>
      <c r="CO37" s="272"/>
    </row>
    <row r="38" spans="1:93">
      <c r="A38" s="140"/>
      <c r="B38" s="140"/>
      <c r="C38" s="140"/>
      <c r="D38" s="140"/>
      <c r="E38" s="217"/>
      <c r="F38" s="530"/>
      <c r="G38" s="7"/>
      <c r="H38" s="7"/>
      <c r="I38" s="7"/>
      <c r="J38" s="7"/>
      <c r="K38" s="7"/>
      <c r="L38" s="447"/>
      <c r="M38" s="455"/>
      <c r="N38" s="456"/>
      <c r="O38" s="140"/>
      <c r="P38" s="140"/>
      <c r="Q38" s="140"/>
      <c r="R38" s="140"/>
      <c r="U38" s="372" t="s">
        <v>3436</v>
      </c>
      <c r="V38" s="91">
        <f ca="1">V6</f>
        <v>3</v>
      </c>
      <c r="Y38" s="42">
        <v>2037</v>
      </c>
      <c r="Z38" s="42">
        <v>20.638888888888889</v>
      </c>
      <c r="AR38" s="1" t="s">
        <v>3573</v>
      </c>
      <c r="AS38" s="61">
        <f ca="1">Z47</f>
        <v>20.240555555555556</v>
      </c>
      <c r="AV38" s="272"/>
      <c r="AW38" s="39"/>
      <c r="AX38" s="39"/>
      <c r="AY38" s="39"/>
      <c r="AZ38" s="39"/>
      <c r="BA38" s="39"/>
      <c r="BB38" s="39"/>
      <c r="BC38" s="39"/>
      <c r="BD38" s="39"/>
      <c r="BE38" s="39" t="s">
        <v>10</v>
      </c>
      <c r="BF38" s="39"/>
      <c r="BG38" s="274">
        <f ca="1">BG33</f>
        <v>28</v>
      </c>
      <c r="BH38" s="272"/>
      <c r="BJ38" s="1" t="s">
        <v>3574</v>
      </c>
      <c r="BK38" s="91">
        <v>366.25635760720166</v>
      </c>
      <c r="BM38" s="1" t="s">
        <v>3575</v>
      </c>
      <c r="BP38" s="474"/>
      <c r="BQ38" s="42">
        <v>2026</v>
      </c>
      <c r="BR38" s="42">
        <v>17.268758923702897</v>
      </c>
      <c r="BU38" s="371"/>
      <c r="BV38" s="42">
        <v>5</v>
      </c>
      <c r="BW38" s="42">
        <v>31</v>
      </c>
      <c r="BX38" s="42">
        <v>7.8633768061147613</v>
      </c>
      <c r="BZ38" s="1" t="s">
        <v>10</v>
      </c>
      <c r="CA38" s="61">
        <f>CA17</f>
        <v>0</v>
      </c>
      <c r="CC38" s="272"/>
      <c r="CD38" s="39"/>
      <c r="CE38" s="39"/>
      <c r="CF38" s="39"/>
      <c r="CG38" s="39"/>
      <c r="CH38" s="39" t="s">
        <v>2775</v>
      </c>
      <c r="CI38" s="39"/>
      <c r="CJ38" s="39"/>
      <c r="CK38" s="39"/>
      <c r="CL38" s="39" t="s">
        <v>2776</v>
      </c>
      <c r="CM38" s="39"/>
      <c r="CN38" s="39">
        <f ca="1">CM12-CN37</f>
        <v>33</v>
      </c>
      <c r="CO38" s="272"/>
    </row>
    <row r="39" spans="1:93">
      <c r="A39" s="140"/>
      <c r="B39" s="140"/>
      <c r="C39" s="140"/>
      <c r="D39" s="140"/>
      <c r="E39" s="217"/>
      <c r="F39" s="475"/>
      <c r="G39" s="476"/>
      <c r="H39" s="476"/>
      <c r="I39" s="476"/>
      <c r="J39" s="476"/>
      <c r="K39" s="477"/>
      <c r="L39" s="447"/>
      <c r="M39" s="455"/>
      <c r="N39" s="456"/>
      <c r="O39" s="140"/>
      <c r="P39" s="140"/>
      <c r="Q39" s="140"/>
      <c r="R39" s="140"/>
      <c r="T39" s="86"/>
      <c r="U39" s="86"/>
      <c r="V39" s="86"/>
      <c r="W39" s="86"/>
      <c r="Y39" s="42">
        <v>2038</v>
      </c>
      <c r="Z39" s="42">
        <v>20.679166666666667</v>
      </c>
      <c r="AR39" s="1" t="s">
        <v>3469</v>
      </c>
      <c r="AS39" s="61">
        <f>V29</f>
        <v>23.907699999999998</v>
      </c>
      <c r="AV39" s="272"/>
      <c r="AW39" s="39"/>
      <c r="AX39" s="39"/>
      <c r="AY39" s="39"/>
      <c r="AZ39" s="39"/>
      <c r="BA39" s="39"/>
      <c r="BB39" s="39"/>
      <c r="BC39" s="39"/>
      <c r="BD39" s="39"/>
      <c r="BE39" s="39" t="s">
        <v>2731</v>
      </c>
      <c r="BF39" s="39"/>
      <c r="BG39" s="274">
        <f ca="1">BG36</f>
        <v>2.7884788801910076</v>
      </c>
      <c r="BH39" s="272"/>
      <c r="BJ39" s="63" t="s">
        <v>3576</v>
      </c>
      <c r="BK39" s="1"/>
      <c r="BM39" s="1" t="s">
        <v>3563</v>
      </c>
      <c r="BQ39" s="478">
        <v>2027</v>
      </c>
      <c r="BR39" s="42">
        <v>17.285448294812177</v>
      </c>
      <c r="BU39" s="479"/>
      <c r="BV39" s="42">
        <v>6</v>
      </c>
      <c r="BW39" s="42">
        <v>30</v>
      </c>
      <c r="BX39" s="42">
        <v>9.8947520338014634</v>
      </c>
      <c r="BZ39" s="1" t="s">
        <v>3577</v>
      </c>
      <c r="CA39" s="1">
        <f ca="1">(CA17/60)+CA15</f>
        <v>17.988888888888887</v>
      </c>
      <c r="CC39" s="272"/>
      <c r="CD39" s="39"/>
      <c r="CE39" s="39"/>
      <c r="CF39" s="39"/>
      <c r="CG39" s="39"/>
      <c r="CH39" s="39"/>
      <c r="CI39" s="39"/>
      <c r="CJ39" s="39"/>
      <c r="CK39" s="39"/>
      <c r="CL39" s="39" t="s">
        <v>2764</v>
      </c>
      <c r="CM39" s="39"/>
      <c r="CN39" s="39">
        <f ca="1">CN37*60</f>
        <v>37.031971036351479</v>
      </c>
      <c r="CO39" s="272"/>
    </row>
    <row r="40" spans="1:93">
      <c r="A40" s="140"/>
      <c r="B40" s="140"/>
      <c r="C40" s="140"/>
      <c r="D40" s="140"/>
      <c r="E40" s="217"/>
      <c r="F40" s="475"/>
      <c r="G40" s="477"/>
      <c r="H40" s="477"/>
      <c r="I40" s="477"/>
      <c r="J40" s="477"/>
      <c r="K40" s="477"/>
      <c r="L40" s="447"/>
      <c r="M40" s="455"/>
      <c r="N40" s="456"/>
      <c r="O40" s="140"/>
      <c r="P40" s="140"/>
      <c r="Q40" s="140"/>
      <c r="R40" s="140"/>
      <c r="T40" s="86"/>
      <c r="U40" s="372" t="s">
        <v>3440</v>
      </c>
      <c r="V40" s="443">
        <f ca="1">V7</f>
        <v>17</v>
      </c>
      <c r="Y40" s="42">
        <v>2039</v>
      </c>
      <c r="Z40" s="42">
        <v>20.72111111111111</v>
      </c>
      <c r="AR40" s="1" t="s">
        <v>3403</v>
      </c>
      <c r="AS40" s="61">
        <f ca="1">V130</f>
        <v>2</v>
      </c>
      <c r="AV40" s="272"/>
      <c r="AW40" s="39"/>
      <c r="AX40" s="39"/>
      <c r="AY40" s="39"/>
      <c r="AZ40" s="39"/>
      <c r="BA40" s="39"/>
      <c r="BB40" s="39"/>
      <c r="BC40" s="39"/>
      <c r="BD40" s="39"/>
      <c r="BE40" s="39" t="s">
        <v>2781</v>
      </c>
      <c r="BF40" s="39"/>
      <c r="BG40" s="39"/>
      <c r="BH40" s="272"/>
      <c r="BJ40" s="1" t="s">
        <v>3578</v>
      </c>
      <c r="BK40" s="1"/>
      <c r="BM40" s="1" t="s">
        <v>3579</v>
      </c>
      <c r="BQ40" s="42">
        <v>2028</v>
      </c>
      <c r="BR40" s="42">
        <v>17.302137665921457</v>
      </c>
      <c r="BU40" s="371"/>
      <c r="BV40" s="42">
        <v>7</v>
      </c>
      <c r="BW40" s="42">
        <v>31</v>
      </c>
      <c r="BX40" s="42">
        <v>11.860599028336983</v>
      </c>
      <c r="BZ40" s="1" t="s">
        <v>3580</v>
      </c>
      <c r="CA40" s="480">
        <f ca="1">CA39-CA34</f>
        <v>2.4465739531956636</v>
      </c>
      <c r="CC40" s="272"/>
      <c r="CD40" s="39"/>
      <c r="CE40" s="39"/>
      <c r="CF40" s="39"/>
      <c r="CG40" s="39"/>
      <c r="CH40" s="39"/>
      <c r="CI40" s="39"/>
      <c r="CJ40" s="39"/>
      <c r="CK40" s="39"/>
      <c r="CL40" s="39" t="s">
        <v>2777</v>
      </c>
      <c r="CM40" s="39"/>
      <c r="CN40" s="39">
        <f ca="1">CN38+1</f>
        <v>34</v>
      </c>
      <c r="CO40" s="272"/>
    </row>
    <row r="41" spans="1:93">
      <c r="A41" s="140"/>
      <c r="B41" s="140"/>
      <c r="C41" s="140"/>
      <c r="D41" s="140"/>
      <c r="E41" s="217"/>
      <c r="F41" s="481"/>
      <c r="G41" s="228"/>
      <c r="H41" s="228"/>
      <c r="I41" s="228"/>
      <c r="J41" s="228"/>
      <c r="K41" s="482"/>
      <c r="L41" s="447"/>
      <c r="M41" s="455"/>
      <c r="N41" s="456"/>
      <c r="O41" s="140"/>
      <c r="P41" s="140"/>
      <c r="Q41" s="140"/>
      <c r="R41" s="140"/>
      <c r="T41" s="86"/>
      <c r="Y41" s="197"/>
      <c r="Z41" s="70"/>
      <c r="AR41" s="1" t="s">
        <v>3412</v>
      </c>
      <c r="AS41" s="61">
        <f ca="1">V131</f>
        <v>3</v>
      </c>
      <c r="AV41" s="272"/>
      <c r="AW41" s="39"/>
      <c r="AX41" s="39"/>
      <c r="AY41" s="39"/>
      <c r="AZ41" s="39"/>
      <c r="BA41" s="39"/>
      <c r="BB41" s="39"/>
      <c r="BC41" s="39"/>
      <c r="BD41" s="39"/>
      <c r="BE41" s="39"/>
      <c r="BF41" s="39"/>
      <c r="BG41" s="282">
        <f ca="1">BG37*-1</f>
        <v>-18</v>
      </c>
      <c r="BH41" s="272"/>
      <c r="BJ41" s="1" t="s">
        <v>3581</v>
      </c>
      <c r="BK41" s="1"/>
      <c r="BM41" s="1">
        <v>17.244722222222222</v>
      </c>
      <c r="BQ41" s="42">
        <v>2029</v>
      </c>
      <c r="BR41" s="42">
        <v>17.253287631852238</v>
      </c>
      <c r="BU41" s="371"/>
      <c r="BV41" s="42">
        <v>8</v>
      </c>
      <c r="BW41" s="42">
        <v>31</v>
      </c>
      <c r="BX41" s="42">
        <v>13.891974256023687</v>
      </c>
      <c r="BZ41" s="335" t="s">
        <v>3582</v>
      </c>
      <c r="CA41" s="335">
        <f ca="1">IF(CA40&lt;0,2,1)</f>
        <v>1</v>
      </c>
      <c r="CC41" s="272"/>
      <c r="CD41" s="39"/>
      <c r="CE41" s="39"/>
      <c r="CF41" s="39"/>
      <c r="CG41" s="39"/>
      <c r="CH41" s="39"/>
      <c r="CI41" s="39"/>
      <c r="CJ41" s="39"/>
      <c r="CK41" s="39"/>
      <c r="CL41" s="39" t="s">
        <v>2776</v>
      </c>
      <c r="CM41" s="39"/>
      <c r="CN41" s="39">
        <f ca="1">IF(CN39&gt;59.999999,CN40,CN38)</f>
        <v>33</v>
      </c>
      <c r="CO41" s="272"/>
    </row>
    <row r="42" spans="1:93">
      <c r="A42" s="140"/>
      <c r="B42" s="140"/>
      <c r="C42" s="140"/>
      <c r="D42" s="140"/>
      <c r="E42" s="217"/>
      <c r="F42" s="483"/>
      <c r="G42" s="484"/>
      <c r="H42" s="484"/>
      <c r="I42" s="484"/>
      <c r="J42" s="484"/>
      <c r="K42" s="485"/>
      <c r="L42" s="464"/>
      <c r="M42" s="465"/>
      <c r="N42" s="456"/>
      <c r="O42" s="140"/>
      <c r="P42" s="140"/>
      <c r="Q42" s="140"/>
      <c r="R42" s="140"/>
      <c r="T42" s="86"/>
      <c r="U42" s="372" t="s">
        <v>3443</v>
      </c>
      <c r="V42" s="443">
        <f ca="1">V8</f>
        <v>59</v>
      </c>
      <c r="Y42" s="1" t="s">
        <v>2672</v>
      </c>
      <c r="Z42" s="73">
        <f ca="1">LOOKUP(Z23,(Y24:Y41),(Z24:Z41))</f>
        <v>0</v>
      </c>
      <c r="AH42" s="63" t="s">
        <v>3545</v>
      </c>
      <c r="AR42" s="1" t="s">
        <v>3476</v>
      </c>
      <c r="AS42" s="61">
        <f ca="1">V132</f>
        <v>17.988888888888887</v>
      </c>
      <c r="AV42" s="272"/>
      <c r="AW42" s="39"/>
      <c r="AX42" s="39"/>
      <c r="AY42" s="39"/>
      <c r="AZ42" s="39"/>
      <c r="BA42" s="39"/>
      <c r="BB42" s="39"/>
      <c r="BC42" s="39"/>
      <c r="BD42" s="39"/>
      <c r="BE42" s="39"/>
      <c r="BF42" s="39"/>
      <c r="BG42" s="282">
        <f ca="1">BG38*-1</f>
        <v>-28</v>
      </c>
      <c r="BH42" s="272"/>
      <c r="BJ42" s="1" t="s">
        <v>3583</v>
      </c>
      <c r="BK42" s="1"/>
      <c r="BM42" s="1" t="s">
        <v>3584</v>
      </c>
      <c r="BQ42" s="42">
        <v>2030</v>
      </c>
      <c r="BR42" s="42">
        <v>17.269977002961518</v>
      </c>
      <c r="BU42" s="371"/>
      <c r="BV42" s="42">
        <v>9</v>
      </c>
      <c r="BW42" s="42">
        <v>30</v>
      </c>
      <c r="BX42" s="42">
        <v>15.923349483710389</v>
      </c>
      <c r="BZ42" s="1" t="s">
        <v>3585</v>
      </c>
      <c r="CA42" s="433">
        <f ca="1">CA40+24</f>
        <v>26.446573953195664</v>
      </c>
      <c r="CC42" s="272"/>
      <c r="CD42" s="39"/>
      <c r="CE42" s="39"/>
      <c r="CF42" s="39"/>
      <c r="CG42" s="39"/>
      <c r="CH42" s="39"/>
      <c r="CI42" s="39"/>
      <c r="CJ42" s="39"/>
      <c r="CK42" s="39"/>
      <c r="CL42" s="39" t="s">
        <v>2764</v>
      </c>
      <c r="CM42" s="39"/>
      <c r="CN42" s="39"/>
      <c r="CO42" s="272"/>
    </row>
    <row r="43" spans="1:93">
      <c r="A43" s="140"/>
      <c r="B43" s="140"/>
      <c r="C43" s="140"/>
      <c r="D43" s="140"/>
      <c r="E43" s="140"/>
      <c r="F43" s="528"/>
      <c r="G43" s="105" t="s">
        <v>3880</v>
      </c>
      <c r="H43" s="132"/>
      <c r="I43" s="132"/>
      <c r="J43" s="7"/>
      <c r="K43" s="529"/>
      <c r="L43" s="486"/>
      <c r="M43" s="486"/>
      <c r="N43" s="215"/>
      <c r="O43" s="140"/>
      <c r="P43" s="140"/>
      <c r="Q43" s="140"/>
      <c r="R43" s="140"/>
      <c r="T43" s="86"/>
      <c r="U43" s="86"/>
      <c r="V43" s="86"/>
      <c r="W43" s="86"/>
      <c r="X43" s="86"/>
      <c r="AF43" s="71" t="s">
        <v>3403</v>
      </c>
      <c r="AG43" s="71"/>
      <c r="AH43" s="71">
        <v>2019</v>
      </c>
      <c r="AJ43" s="393">
        <v>2039</v>
      </c>
      <c r="AL43" s="142" t="s">
        <v>3487</v>
      </c>
      <c r="AM43" s="142" t="s">
        <v>3487</v>
      </c>
      <c r="AR43" s="335" t="s">
        <v>3479</v>
      </c>
      <c r="AS43" s="177">
        <v>0</v>
      </c>
      <c r="AV43" s="270"/>
      <c r="AW43" s="39"/>
      <c r="AX43" s="39"/>
      <c r="AY43" s="39"/>
      <c r="AZ43" s="39"/>
      <c r="BA43" s="39"/>
      <c r="BB43" s="39"/>
      <c r="BC43" s="39"/>
      <c r="BD43" s="39"/>
      <c r="BE43" s="39"/>
      <c r="BF43" s="39"/>
      <c r="BG43" s="282">
        <f ca="1">BG39*-1</f>
        <v>-2.7884788801910076</v>
      </c>
      <c r="BH43" s="270"/>
      <c r="BJ43" s="1" t="s">
        <v>3586</v>
      </c>
      <c r="BK43" s="1"/>
      <c r="BQ43" s="42">
        <v>2031</v>
      </c>
      <c r="BR43" s="42">
        <v>17.286666374070798</v>
      </c>
      <c r="BU43" s="371"/>
      <c r="BV43" s="42">
        <v>10</v>
      </c>
      <c r="BW43" s="42">
        <v>31</v>
      </c>
      <c r="BX43" s="42">
        <v>17.889196478245907</v>
      </c>
      <c r="BZ43" s="1" t="s">
        <v>3587</v>
      </c>
      <c r="CA43" s="82">
        <f ca="1">IF(CA41=2,CA42,CA40)</f>
        <v>2.4465739531956636</v>
      </c>
      <c r="CC43" s="272"/>
      <c r="CD43" s="39"/>
      <c r="CE43" s="39"/>
      <c r="CF43" s="39"/>
      <c r="CG43" s="39"/>
      <c r="CH43" s="39"/>
      <c r="CI43" s="39" t="s">
        <v>2778</v>
      </c>
      <c r="CJ43" s="39"/>
      <c r="CK43" s="39"/>
      <c r="CL43" s="39"/>
      <c r="CM43" s="39"/>
      <c r="CN43" s="39">
        <f ca="1">IF(CN39&lt;0.000001,0,CN39)</f>
        <v>37.031971036351479</v>
      </c>
      <c r="CO43" s="272"/>
    </row>
    <row r="44" spans="1:93">
      <c r="A44" s="140"/>
      <c r="B44" s="140"/>
      <c r="C44" s="140"/>
      <c r="D44" s="140"/>
      <c r="E44" s="140"/>
      <c r="F44" s="450"/>
      <c r="G44" s="451" t="str">
        <f ca="1">CA73</f>
        <v/>
      </c>
      <c r="H44" s="452" t="str">
        <f ca="1">CA74</f>
        <v/>
      </c>
      <c r="I44" s="453" t="str">
        <f ca="1">CA75</f>
        <v/>
      </c>
      <c r="J44" s="454" t="str">
        <f ca="1">CA76</f>
        <v/>
      </c>
      <c r="K44" s="448"/>
      <c r="L44" s="215"/>
      <c r="M44" s="215"/>
      <c r="N44" s="215"/>
      <c r="O44" s="140"/>
      <c r="P44" s="140"/>
      <c r="Q44" s="140"/>
      <c r="R44" s="140"/>
      <c r="T44" s="86"/>
      <c r="AE44" s="175" t="s">
        <v>2665</v>
      </c>
      <c r="AF44" s="487">
        <f ca="1">V130</f>
        <v>2</v>
      </c>
      <c r="AG44" s="396" t="s">
        <v>3492</v>
      </c>
      <c r="AH44" s="366" t="s">
        <v>3493</v>
      </c>
      <c r="AI44" s="366" t="s">
        <v>3457</v>
      </c>
      <c r="AJ44" s="398" t="s">
        <v>3493</v>
      </c>
      <c r="AK44" s="399" t="s">
        <v>3457</v>
      </c>
      <c r="AL44" s="401" t="s">
        <v>3494</v>
      </c>
      <c r="AM44" s="401" t="s">
        <v>3495</v>
      </c>
      <c r="AO44" s="63" t="s">
        <v>3506</v>
      </c>
      <c r="AR44" s="1" t="s">
        <v>10</v>
      </c>
      <c r="AS44" s="61">
        <v>0</v>
      </c>
      <c r="AV44" s="488" t="s">
        <v>3588</v>
      </c>
      <c r="AW44" s="272"/>
      <c r="AX44" s="272"/>
      <c r="AY44" s="272"/>
      <c r="AZ44" s="272"/>
      <c r="BA44" s="272"/>
      <c r="BB44" s="272"/>
      <c r="BC44" s="272"/>
      <c r="BD44" s="272"/>
      <c r="BE44" s="272"/>
      <c r="BF44" s="272"/>
      <c r="BG44" s="272"/>
      <c r="BH44" s="273"/>
      <c r="BJ44" s="1" t="s">
        <v>3589</v>
      </c>
      <c r="BK44" s="1"/>
      <c r="BM44" s="63" t="s">
        <v>2047</v>
      </c>
      <c r="BQ44" s="42">
        <v>2032</v>
      </c>
      <c r="BR44" s="42">
        <v>17.303355745180077</v>
      </c>
      <c r="BU44" s="371"/>
      <c r="BV44" s="42">
        <v>11</v>
      </c>
      <c r="BW44" s="42">
        <v>30</v>
      </c>
      <c r="BX44" s="42">
        <v>19.920571705932609</v>
      </c>
      <c r="BZ44" s="1" t="s">
        <v>3590</v>
      </c>
      <c r="CA44" s="1">
        <f ca="1">CA40*4/1440</f>
        <v>6.7960387588768432E-3</v>
      </c>
      <c r="CC44" s="272"/>
      <c r="CD44" s="39"/>
      <c r="CE44" s="39"/>
      <c r="CF44" s="39"/>
      <c r="CG44" s="39"/>
      <c r="CH44" s="39"/>
      <c r="CI44" s="39" t="s">
        <v>2779</v>
      </c>
      <c r="CJ44" s="39"/>
      <c r="CK44" s="39"/>
      <c r="CL44" s="39"/>
      <c r="CM44" s="39"/>
      <c r="CN44" s="39">
        <f ca="1">IF(CN43&gt;59.999999,0,CN43)</f>
        <v>37.031971036351479</v>
      </c>
      <c r="CO44" s="272"/>
    </row>
    <row r="45" spans="1:93">
      <c r="A45" s="140"/>
      <c r="B45" s="140"/>
      <c r="C45" s="140"/>
      <c r="D45" s="140"/>
      <c r="E45" s="140"/>
      <c r="F45" s="415" t="s">
        <v>3556</v>
      </c>
      <c r="G45" s="457"/>
      <c r="H45" s="458"/>
      <c r="I45" s="384" t="str">
        <f ca="1">CA60</f>
        <v xml:space="preserve">Δυτικά </v>
      </c>
      <c r="J45" s="459"/>
      <c r="K45" s="217"/>
      <c r="L45" s="215"/>
      <c r="M45" s="215"/>
      <c r="N45" s="215"/>
      <c r="O45" s="140"/>
      <c r="P45" s="140"/>
      <c r="Q45" s="140"/>
      <c r="R45" s="140"/>
      <c r="AE45" s="42"/>
      <c r="AF45" s="39" t="s">
        <v>3463</v>
      </c>
      <c r="AG45" s="260" t="s">
        <v>3499</v>
      </c>
      <c r="AH45" s="369" t="s">
        <v>3464</v>
      </c>
      <c r="AI45" s="369" t="s">
        <v>3464</v>
      </c>
      <c r="AJ45" s="345" t="s">
        <v>3464</v>
      </c>
      <c r="AK45" s="345" t="s">
        <v>3464</v>
      </c>
      <c r="AL45" s="407" t="s">
        <v>3464</v>
      </c>
      <c r="AM45" s="407" t="s">
        <v>3464</v>
      </c>
      <c r="AO45" s="1" t="s">
        <v>3511</v>
      </c>
      <c r="AP45" s="61">
        <f ca="1">AP24</f>
        <v>2020</v>
      </c>
      <c r="AR45" s="1" t="s">
        <v>3484</v>
      </c>
      <c r="AS45" s="61">
        <f ca="1">AP61</f>
        <v>2.0461119999999999</v>
      </c>
      <c r="AV45" s="272"/>
      <c r="AW45" s="39"/>
      <c r="AX45" s="39" t="s">
        <v>2679</v>
      </c>
      <c r="AY45" s="39" t="b">
        <f ca="1">ISNUMBER(AW52)</f>
        <v>1</v>
      </c>
      <c r="AZ45" s="39"/>
      <c r="BA45" s="39" t="s">
        <v>2665</v>
      </c>
      <c r="BB45" s="68">
        <f ca="1">AY50</f>
        <v>23.520118332657599</v>
      </c>
      <c r="BC45" s="39"/>
      <c r="BD45" s="39"/>
      <c r="BE45" s="39" t="s">
        <v>2665</v>
      </c>
      <c r="BF45" s="68">
        <f ca="1">BD69</f>
        <v>31.207099959455959</v>
      </c>
      <c r="BG45" s="39"/>
      <c r="BH45" s="272"/>
      <c r="BI45" s="365"/>
      <c r="BJ45" s="1" t="s">
        <v>3591</v>
      </c>
      <c r="BK45" s="1"/>
      <c r="BM45" s="1" t="s">
        <v>3592</v>
      </c>
      <c r="BQ45" s="42">
        <v>2033</v>
      </c>
      <c r="BR45" s="42">
        <v>17.254505711110859</v>
      </c>
      <c r="BS45" s="332"/>
      <c r="BT45" s="39"/>
      <c r="BU45" s="371"/>
      <c r="BV45" s="42">
        <v>12</v>
      </c>
      <c r="BW45" s="42">
        <v>31</v>
      </c>
      <c r="BX45" s="42">
        <v>21.886418700468127</v>
      </c>
      <c r="BZ45" s="1" t="s">
        <v>3593</v>
      </c>
      <c r="CA45" s="3">
        <f ca="1">CA44+CA43</f>
        <v>2.4533699919545406</v>
      </c>
      <c r="CC45" s="272"/>
      <c r="CD45" s="39"/>
      <c r="CE45" s="39"/>
      <c r="CF45" s="39"/>
      <c r="CG45" s="39"/>
      <c r="CH45" s="39"/>
      <c r="CI45" s="39"/>
      <c r="CJ45" s="39"/>
      <c r="CK45" s="39"/>
      <c r="CL45" s="39" t="s">
        <v>2780</v>
      </c>
      <c r="CM45" s="39"/>
      <c r="CN45" s="274">
        <f ca="1">CJ36</f>
        <v>7</v>
      </c>
      <c r="CO45" s="272"/>
    </row>
    <row r="46" spans="1:93">
      <c r="A46" s="140"/>
      <c r="B46" s="140"/>
      <c r="C46" s="140"/>
      <c r="D46" s="140"/>
      <c r="E46" s="140"/>
      <c r="F46" s="415" t="s">
        <v>3561</v>
      </c>
      <c r="G46" s="140"/>
      <c r="H46" s="140"/>
      <c r="I46" s="461"/>
      <c r="J46" s="215"/>
      <c r="K46" s="217"/>
      <c r="L46" s="215"/>
      <c r="M46" s="215"/>
      <c r="N46" s="215"/>
      <c r="O46" s="140"/>
      <c r="P46" s="140"/>
      <c r="Q46" s="140"/>
      <c r="R46" s="140"/>
      <c r="U46" s="489" t="s">
        <v>3594</v>
      </c>
      <c r="V46" s="61">
        <f>Φύλλο2!AN49</f>
        <v>0</v>
      </c>
      <c r="Y46" s="1" t="s">
        <v>3595</v>
      </c>
      <c r="AE46" s="69">
        <v>0</v>
      </c>
      <c r="AF46" s="69">
        <v>0</v>
      </c>
      <c r="AG46" s="396">
        <v>0</v>
      </c>
      <c r="AH46" s="366">
        <v>0</v>
      </c>
      <c r="AI46" s="366">
        <v>0</v>
      </c>
      <c r="AJ46" s="399">
        <v>0</v>
      </c>
      <c r="AK46" s="399">
        <v>0</v>
      </c>
      <c r="AL46" s="142">
        <v>0</v>
      </c>
      <c r="AM46" s="142">
        <v>0</v>
      </c>
      <c r="AP46" s="39">
        <f ca="1">IF(AB18=1,0,AP45)</f>
        <v>0</v>
      </c>
      <c r="AR46" s="1" t="s">
        <v>3596</v>
      </c>
      <c r="AS46" s="61">
        <f ca="1">AP60</f>
        <v>6.6044034482758612E-2</v>
      </c>
      <c r="AV46" s="272"/>
      <c r="AW46" s="39"/>
      <c r="AX46" s="39" t="b">
        <v>0</v>
      </c>
      <c r="AY46" s="274">
        <f ca="1">IF(AY45=AX46,0,AW52)</f>
        <v>23.520118332657599</v>
      </c>
      <c r="AZ46" s="39"/>
      <c r="BA46" s="39">
        <v>90</v>
      </c>
      <c r="BB46" s="39">
        <f ca="1">IF(BA46&gt;BB45,BB45,-1)</f>
        <v>23.520118332657599</v>
      </c>
      <c r="BC46" s="39">
        <f ca="1">IF(BB46=-1,10,0)</f>
        <v>0</v>
      </c>
      <c r="BD46" s="39"/>
      <c r="BE46" s="39">
        <v>90</v>
      </c>
      <c r="BF46" s="39">
        <f ca="1">IF(BE46&gt;BF45,BF45,-1)</f>
        <v>31.207099959455959</v>
      </c>
      <c r="BG46" s="39">
        <f ca="1">IF(BF46=-1,10,0)</f>
        <v>0</v>
      </c>
      <c r="BH46" s="272"/>
      <c r="BJ46" s="1" t="s">
        <v>3597</v>
      </c>
      <c r="BK46" s="1"/>
      <c r="BM46" s="1" t="s">
        <v>3563</v>
      </c>
      <c r="BQ46" s="42">
        <v>2034</v>
      </c>
      <c r="BR46" s="42">
        <v>17.271195082220139</v>
      </c>
      <c r="BS46" s="332"/>
      <c r="BT46" s="39"/>
      <c r="BU46" s="371"/>
      <c r="BV46" s="70">
        <v>13</v>
      </c>
      <c r="BW46" s="70">
        <v>0</v>
      </c>
      <c r="BX46" s="70">
        <v>0</v>
      </c>
      <c r="BZ46" s="63" t="s">
        <v>3598</v>
      </c>
      <c r="CA46" s="86"/>
      <c r="CC46" s="272"/>
      <c r="CD46" s="39"/>
      <c r="CE46" s="39"/>
      <c r="CF46" s="39"/>
      <c r="CG46" s="39"/>
      <c r="CH46" s="39"/>
      <c r="CI46" s="39"/>
      <c r="CJ46" s="39"/>
      <c r="CK46" s="39"/>
      <c r="CL46" s="39" t="s">
        <v>10</v>
      </c>
      <c r="CM46" s="39"/>
      <c r="CN46" s="274">
        <f ca="1">CN41</f>
        <v>33</v>
      </c>
      <c r="CO46" s="272"/>
    </row>
    <row r="47" spans="1:93">
      <c r="A47" s="140"/>
      <c r="B47" s="140"/>
      <c r="C47" s="140"/>
      <c r="D47" s="140"/>
      <c r="E47" s="140"/>
      <c r="F47" s="415"/>
      <c r="G47" s="215" t="s">
        <v>3565</v>
      </c>
      <c r="H47" s="217"/>
      <c r="I47" s="384">
        <f ca="1">CA86</f>
        <v>7</v>
      </c>
      <c r="J47" s="220"/>
      <c r="K47" s="217"/>
      <c r="L47" s="140"/>
      <c r="M47" s="140"/>
      <c r="N47" s="140"/>
      <c r="O47" s="140"/>
      <c r="P47" s="140"/>
      <c r="Q47" s="140"/>
      <c r="R47" s="140"/>
      <c r="U47" s="1" t="s">
        <v>2680</v>
      </c>
      <c r="V47" s="1" t="b">
        <f>ISNUMBER(V46)</f>
        <v>1</v>
      </c>
      <c r="Z47" s="72">
        <f ca="1">IF(AB18=1,AC18,Z42)</f>
        <v>20.240555555555556</v>
      </c>
      <c r="AE47" s="42">
        <v>1</v>
      </c>
      <c r="AF47" s="42">
        <v>31</v>
      </c>
      <c r="AG47" s="1">
        <v>0</v>
      </c>
      <c r="AH47" s="394">
        <v>6.5994623655914006E-2</v>
      </c>
      <c r="AI47" s="394">
        <v>0</v>
      </c>
      <c r="AJ47" s="41">
        <v>6.6021505376344089E-2</v>
      </c>
      <c r="AK47" s="41">
        <v>0</v>
      </c>
      <c r="AL47" s="401">
        <v>-2.6881720430083078E-5</v>
      </c>
      <c r="AM47" s="401">
        <v>0</v>
      </c>
      <c r="AO47" s="431" t="s">
        <v>3521</v>
      </c>
      <c r="AR47" s="1" t="s">
        <v>3501</v>
      </c>
      <c r="AS47" s="177">
        <v>30</v>
      </c>
      <c r="AV47" s="272"/>
      <c r="AW47" s="39"/>
      <c r="AX47" s="39" t="s">
        <v>2768</v>
      </c>
      <c r="AY47" s="86">
        <f ca="1">AY46*-1</f>
        <v>-23.520118332657599</v>
      </c>
      <c r="AZ47" s="39"/>
      <c r="BA47" s="39">
        <v>80</v>
      </c>
      <c r="BB47" s="39">
        <f t="shared" ref="BB47:BB54" ca="1" si="19">IF(BA47&gt;BB46,BB46,-1)</f>
        <v>23.520118332657599</v>
      </c>
      <c r="BC47" s="39">
        <f t="shared" ref="BC47:BC54" ca="1" si="20">IF(BB47=-1,10,0)</f>
        <v>0</v>
      </c>
      <c r="BD47" s="39"/>
      <c r="BE47" s="39">
        <v>80</v>
      </c>
      <c r="BF47" s="39">
        <f t="shared" ref="BF47:BF54" ca="1" si="21">IF(BE47&gt;BF46,BF46,-1)</f>
        <v>31.207099959455959</v>
      </c>
      <c r="BG47" s="39">
        <f t="shared" ref="BG47:BG54" ca="1" si="22">IF(BF47=-1,10,0)</f>
        <v>0</v>
      </c>
      <c r="BH47" s="272"/>
      <c r="BJ47" s="1" t="s">
        <v>3599</v>
      </c>
      <c r="BK47" s="1"/>
      <c r="BM47" s="1" t="s">
        <v>3600</v>
      </c>
      <c r="BQ47" s="42">
        <v>2035</v>
      </c>
      <c r="BR47" s="42">
        <v>17.287884453329418</v>
      </c>
      <c r="BS47" s="332"/>
      <c r="BT47" s="39"/>
      <c r="BU47" s="371"/>
      <c r="BV47" s="432" t="s">
        <v>2672</v>
      </c>
      <c r="BW47" s="73">
        <f ca="1">LOOKUP(BW31,(BV33:BV46),(BW33:BW46))</f>
        <v>0</v>
      </c>
      <c r="BX47" s="73">
        <f ca="1">LOOKUP(BW31,(BV33:BV46),(BX33:BX46))</f>
        <v>0</v>
      </c>
      <c r="BZ47" s="1" t="s">
        <v>3601</v>
      </c>
      <c r="CA47" s="60" t="e">
        <f>#REF!</f>
        <v>#REF!</v>
      </c>
      <c r="CC47" s="272"/>
      <c r="CD47" s="39"/>
      <c r="CE47" s="39"/>
      <c r="CF47" s="39"/>
      <c r="CG47" s="39"/>
      <c r="CH47" s="39"/>
      <c r="CI47" s="39"/>
      <c r="CJ47" s="39"/>
      <c r="CK47" s="39"/>
      <c r="CL47" s="39" t="s">
        <v>2731</v>
      </c>
      <c r="CM47" s="39"/>
      <c r="CN47" s="274">
        <f ca="1">CN44</f>
        <v>37.031971036351479</v>
      </c>
      <c r="CO47" s="272"/>
    </row>
    <row r="48" spans="1:93">
      <c r="A48" s="140"/>
      <c r="B48" s="140"/>
      <c r="C48" s="140"/>
      <c r="D48" s="140"/>
      <c r="E48" s="140"/>
      <c r="F48" s="415"/>
      <c r="G48" s="215" t="s">
        <v>3569</v>
      </c>
      <c r="H48" s="217"/>
      <c r="I48" s="384">
        <f ca="1">CA87</f>
        <v>33</v>
      </c>
      <c r="J48" s="220"/>
      <c r="K48" s="217"/>
      <c r="L48" s="140"/>
      <c r="M48" s="140"/>
      <c r="N48" s="140"/>
      <c r="O48" s="140"/>
      <c r="P48" s="140"/>
      <c r="Q48" s="140"/>
      <c r="R48" s="140"/>
      <c r="U48" s="1" t="b">
        <v>0</v>
      </c>
      <c r="AE48" s="42">
        <v>2</v>
      </c>
      <c r="AF48" s="42">
        <v>28</v>
      </c>
      <c r="AG48" s="1">
        <v>31</v>
      </c>
      <c r="AH48" s="394">
        <v>6.6051587301587292E-2</v>
      </c>
      <c r="AI48" s="394">
        <v>2.0458333333333343</v>
      </c>
      <c r="AJ48" s="41">
        <v>6.6121031746031705E-2</v>
      </c>
      <c r="AK48" s="41">
        <v>2.0466666666666669</v>
      </c>
      <c r="AL48" s="401">
        <v>-6.9444444444413667E-5</v>
      </c>
      <c r="AM48" s="401">
        <v>-8.3333333333257542E-4</v>
      </c>
      <c r="AO48" s="1" t="s">
        <v>3602</v>
      </c>
      <c r="AP48" s="1">
        <f ca="1">AP46-2019</f>
        <v>-2019</v>
      </c>
      <c r="AV48" s="272"/>
      <c r="AW48" s="39"/>
      <c r="AX48" s="39" t="s">
        <v>2769</v>
      </c>
      <c r="AY48" s="80">
        <f ca="1">IF(AY47&lt;0,AY46,AY47)</f>
        <v>23.520118332657599</v>
      </c>
      <c r="AZ48" s="39"/>
      <c r="BA48" s="39">
        <v>70</v>
      </c>
      <c r="BB48" s="39">
        <f t="shared" ca="1" si="19"/>
        <v>23.520118332657599</v>
      </c>
      <c r="BC48" s="39">
        <f t="shared" ca="1" si="20"/>
        <v>0</v>
      </c>
      <c r="BD48" s="39"/>
      <c r="BE48" s="39">
        <v>70</v>
      </c>
      <c r="BF48" s="39">
        <f t="shared" ca="1" si="21"/>
        <v>31.207099959455959</v>
      </c>
      <c r="BG48" s="39">
        <f t="shared" ca="1" si="22"/>
        <v>0</v>
      </c>
      <c r="BH48" s="272"/>
      <c r="BJ48" s="1" t="s">
        <v>3603</v>
      </c>
      <c r="BK48" s="1"/>
      <c r="BM48" s="1">
        <v>20.31388888888889</v>
      </c>
      <c r="BQ48" s="42">
        <v>2036</v>
      </c>
      <c r="BR48" s="42">
        <v>17.304573824438698</v>
      </c>
      <c r="BS48" s="332"/>
      <c r="BT48" s="39"/>
      <c r="BU48" s="371"/>
      <c r="BZ48" s="62" t="s">
        <v>3604</v>
      </c>
      <c r="CA48" s="86">
        <f>50.26/15</f>
        <v>3.3506666666666667</v>
      </c>
      <c r="CC48" s="272"/>
      <c r="CD48" s="39"/>
      <c r="CE48" s="39"/>
      <c r="CF48" s="39"/>
      <c r="CG48" s="39"/>
      <c r="CH48" s="39"/>
      <c r="CI48" s="39"/>
      <c r="CJ48" s="39"/>
      <c r="CK48" s="39"/>
      <c r="CL48" s="39" t="s">
        <v>2781</v>
      </c>
      <c r="CM48" s="39"/>
      <c r="CN48" s="39"/>
      <c r="CO48" s="272"/>
    </row>
    <row r="49" spans="1:93">
      <c r="A49" s="140"/>
      <c r="B49" s="140"/>
      <c r="C49" s="140"/>
      <c r="D49" s="140"/>
      <c r="E49" s="140"/>
      <c r="F49" s="470"/>
      <c r="G49" s="215" t="s">
        <v>3571</v>
      </c>
      <c r="H49" s="217"/>
      <c r="I49" s="471">
        <f ca="1">CA88</f>
        <v>37.031971036351479</v>
      </c>
      <c r="J49" s="220"/>
      <c r="K49" s="217"/>
      <c r="L49" s="140"/>
      <c r="M49" s="140"/>
      <c r="N49" s="140"/>
      <c r="O49" s="140"/>
      <c r="P49" s="140"/>
      <c r="Q49" s="140"/>
      <c r="R49" s="140"/>
      <c r="U49" s="1" t="s">
        <v>3526</v>
      </c>
      <c r="V49" s="1">
        <f>IF(V47=U48,0,V46)</f>
        <v>0</v>
      </c>
      <c r="AE49" s="42">
        <v>3</v>
      </c>
      <c r="AF49" s="42">
        <v>31</v>
      </c>
      <c r="AG49" s="1">
        <v>59</v>
      </c>
      <c r="AH49" s="394">
        <v>6.5931899641577002E-2</v>
      </c>
      <c r="AI49" s="394">
        <v>3.8952777777777783</v>
      </c>
      <c r="AJ49" s="41">
        <v>6.6012544802867362E-2</v>
      </c>
      <c r="AK49" s="41">
        <v>3.8980555555555547</v>
      </c>
      <c r="AL49" s="401">
        <v>-8.0645161290360257E-5</v>
      </c>
      <c r="AM49" s="401">
        <v>-2.7777777777764356E-3</v>
      </c>
      <c r="AO49" s="1" t="s">
        <v>3532</v>
      </c>
      <c r="AP49" s="1">
        <f ca="1">AP48/20*AL60</f>
        <v>7.0104166666635596E-3</v>
      </c>
      <c r="AR49" s="1" t="s">
        <v>3509</v>
      </c>
      <c r="AS49" s="1">
        <f>AS47-AS39</f>
        <v>6.0923000000000016</v>
      </c>
      <c r="AV49" s="272"/>
      <c r="AW49" s="39"/>
      <c r="AX49" s="268" t="s">
        <v>2770</v>
      </c>
      <c r="AY49" s="268">
        <f ca="1">IF(AY46&lt;0,2,1)</f>
        <v>1</v>
      </c>
      <c r="AZ49" s="39"/>
      <c r="BA49" s="39">
        <v>60</v>
      </c>
      <c r="BB49" s="39">
        <f t="shared" ca="1" si="19"/>
        <v>23.520118332657599</v>
      </c>
      <c r="BC49" s="39">
        <f t="shared" ca="1" si="20"/>
        <v>0</v>
      </c>
      <c r="BD49" s="39"/>
      <c r="BE49" s="39">
        <v>60</v>
      </c>
      <c r="BF49" s="39">
        <f t="shared" ca="1" si="21"/>
        <v>31.207099959455959</v>
      </c>
      <c r="BG49" s="39">
        <f t="shared" ca="1" si="22"/>
        <v>0</v>
      </c>
      <c r="BH49" s="272"/>
      <c r="BJ49" s="63" t="s">
        <v>3605</v>
      </c>
      <c r="BK49" s="1"/>
      <c r="BO49" s="39"/>
      <c r="BQ49" s="42">
        <v>2037</v>
      </c>
      <c r="BR49" s="42">
        <v>17.25572379036948</v>
      </c>
      <c r="BS49" s="332"/>
      <c r="BT49" s="39"/>
      <c r="BU49" s="371"/>
      <c r="BZ49" s="62" t="s">
        <v>3606</v>
      </c>
      <c r="CA49" s="86">
        <f>CA48/3600</f>
        <v>9.3074074074074077E-4</v>
      </c>
      <c r="CC49" s="272"/>
      <c r="CD49" s="39"/>
      <c r="CE49" s="39"/>
      <c r="CF49" s="39"/>
      <c r="CG49" s="39"/>
      <c r="CH49" s="39"/>
      <c r="CI49" s="39"/>
      <c r="CJ49" s="39"/>
      <c r="CK49" s="39"/>
      <c r="CL49" s="39"/>
      <c r="CM49" s="39"/>
      <c r="CN49" s="282">
        <f ca="1">CN45*-1</f>
        <v>-7</v>
      </c>
      <c r="CO49" s="272"/>
    </row>
    <row r="50" spans="1:93">
      <c r="A50" s="140"/>
      <c r="B50" s="140"/>
      <c r="C50" s="140"/>
      <c r="D50" s="140"/>
      <c r="E50" s="140"/>
      <c r="F50" s="569"/>
      <c r="G50" s="105" t="s">
        <v>3879</v>
      </c>
      <c r="H50" s="132"/>
      <c r="I50" s="132"/>
      <c r="J50" s="7"/>
      <c r="K50" s="140"/>
      <c r="L50" s="140"/>
      <c r="M50" s="140"/>
      <c r="N50" s="140"/>
      <c r="O50" s="140"/>
      <c r="P50" s="140"/>
      <c r="Q50" s="140"/>
      <c r="R50" s="140"/>
      <c r="U50" s="1" t="s">
        <v>3607</v>
      </c>
      <c r="V50" s="82">
        <f>IF(V49=-1,V49,0)</f>
        <v>0</v>
      </c>
      <c r="AE50" s="42">
        <v>4</v>
      </c>
      <c r="AF50" s="42">
        <v>30</v>
      </c>
      <c r="AG50" s="1">
        <v>90</v>
      </c>
      <c r="AH50" s="394">
        <v>6.5657407407407456E-2</v>
      </c>
      <c r="AI50" s="394">
        <v>5.9391666666666652</v>
      </c>
      <c r="AJ50" s="41">
        <v>6.574074074074078E-2</v>
      </c>
      <c r="AK50" s="41">
        <v>5.9444444444444429</v>
      </c>
      <c r="AL50" s="401">
        <v>-8.3333333333324155E-5</v>
      </c>
      <c r="AM50" s="401">
        <v>-5.2777777777777146E-3</v>
      </c>
      <c r="AO50" s="1" t="s">
        <v>3537</v>
      </c>
      <c r="AP50" s="444">
        <f ca="1">AH60-AP49</f>
        <v>5.9041170634923729E-2</v>
      </c>
      <c r="AR50" s="1" t="s">
        <v>3513</v>
      </c>
      <c r="AS50" s="421">
        <f>AS49/15</f>
        <v>0.40615333333333342</v>
      </c>
      <c r="AV50" s="272"/>
      <c r="AW50" s="39"/>
      <c r="AX50" s="39" t="s">
        <v>2771</v>
      </c>
      <c r="AY50" s="275">
        <f ca="1">IF(AY48&gt;100,0,AY48)</f>
        <v>23.520118332657599</v>
      </c>
      <c r="AZ50" s="39"/>
      <c r="BA50" s="39">
        <v>50</v>
      </c>
      <c r="BB50" s="39">
        <f t="shared" ca="1" si="19"/>
        <v>23.520118332657599</v>
      </c>
      <c r="BC50" s="39">
        <f t="shared" ca="1" si="20"/>
        <v>0</v>
      </c>
      <c r="BD50" s="39"/>
      <c r="BE50" s="39">
        <v>50</v>
      </c>
      <c r="BF50" s="39">
        <f t="shared" ca="1" si="21"/>
        <v>31.207099959455959</v>
      </c>
      <c r="BG50" s="39">
        <f t="shared" ca="1" si="22"/>
        <v>0</v>
      </c>
      <c r="BH50" s="272"/>
      <c r="BJ50" s="1" t="s">
        <v>3608</v>
      </c>
      <c r="BK50" s="91">
        <v>6.5527872763206041E-2</v>
      </c>
      <c r="BO50" s="39"/>
      <c r="BQ50" s="42">
        <v>2038</v>
      </c>
      <c r="BR50" s="42">
        <v>17.272413161478759</v>
      </c>
      <c r="BS50" s="332"/>
      <c r="BT50" s="39"/>
      <c r="BU50" s="371"/>
      <c r="BV50" s="490" t="s">
        <v>3609</v>
      </c>
      <c r="BZ50" s="1" t="s">
        <v>3610</v>
      </c>
      <c r="CA50" s="86" t="e">
        <f>CA49*CA47</f>
        <v>#REF!</v>
      </c>
      <c r="CC50" s="272"/>
      <c r="CD50" s="39"/>
      <c r="CE50" s="39"/>
      <c r="CF50" s="39"/>
      <c r="CG50" s="39"/>
      <c r="CH50" s="39"/>
      <c r="CI50" s="39"/>
      <c r="CJ50" s="39"/>
      <c r="CK50" s="39"/>
      <c r="CL50" s="39"/>
      <c r="CM50" s="39"/>
      <c r="CN50" s="282">
        <f ca="1">CN46*-1</f>
        <v>-33</v>
      </c>
      <c r="CO50" s="272"/>
    </row>
    <row r="51" spans="1:93">
      <c r="A51" s="140"/>
      <c r="B51" s="140"/>
      <c r="C51" s="140"/>
      <c r="D51" s="140"/>
      <c r="E51" s="140"/>
      <c r="F51" s="450"/>
      <c r="G51" s="451" t="str">
        <f ca="1">CA160</f>
        <v/>
      </c>
      <c r="H51" s="452" t="str">
        <f ca="1">CA161</f>
        <v/>
      </c>
      <c r="I51" s="453" t="str">
        <f ca="1">CA162</f>
        <v/>
      </c>
      <c r="J51" s="454" t="str">
        <f ca="1">CA163</f>
        <v/>
      </c>
      <c r="K51" s="140"/>
      <c r="L51" s="140"/>
      <c r="M51" s="140"/>
      <c r="N51" s="140"/>
      <c r="O51" s="140"/>
      <c r="P51" s="140"/>
      <c r="Q51" s="140"/>
      <c r="R51" s="140"/>
      <c r="U51" s="1" t="s">
        <v>3611</v>
      </c>
      <c r="V51" s="1">
        <f>IF(V46=0,0,2)</f>
        <v>0</v>
      </c>
      <c r="AE51" s="42">
        <v>5</v>
      </c>
      <c r="AF51" s="42">
        <v>31</v>
      </c>
      <c r="AG51" s="1">
        <v>120</v>
      </c>
      <c r="AH51" s="394">
        <v>6.5367383512544799E-2</v>
      </c>
      <c r="AI51" s="394">
        <v>7.9088888888888889</v>
      </c>
      <c r="AJ51" s="41">
        <v>6.5421146953405021E-2</v>
      </c>
      <c r="AK51" s="41">
        <v>7.9166666666666661</v>
      </c>
      <c r="AL51" s="401">
        <v>-5.3763440860221667E-5</v>
      </c>
      <c r="AM51" s="401">
        <v>-7.7777777777772172E-3</v>
      </c>
      <c r="AO51" s="371" t="s">
        <v>3484</v>
      </c>
      <c r="AR51" s="1" t="s">
        <v>3516</v>
      </c>
      <c r="AS51" s="1">
        <f ca="1">AS50/24*AS46</f>
        <v>1.1176668646647511E-3</v>
      </c>
      <c r="AV51" s="272"/>
      <c r="AW51" s="276" t="s">
        <v>2772</v>
      </c>
      <c r="AX51" s="39"/>
      <c r="AY51" s="39"/>
      <c r="AZ51" s="39"/>
      <c r="BA51" s="39">
        <v>40</v>
      </c>
      <c r="BB51" s="39">
        <f t="shared" ca="1" si="19"/>
        <v>23.520118332657599</v>
      </c>
      <c r="BC51" s="39">
        <f t="shared" ca="1" si="20"/>
        <v>0</v>
      </c>
      <c r="BD51" s="39"/>
      <c r="BE51" s="39">
        <v>40</v>
      </c>
      <c r="BF51" s="39">
        <f t="shared" ca="1" si="21"/>
        <v>31.207099959455959</v>
      </c>
      <c r="BG51" s="39">
        <f t="shared" ca="1" si="22"/>
        <v>0</v>
      </c>
      <c r="BH51" s="272"/>
      <c r="BJ51" s="1" t="s">
        <v>3612</v>
      </c>
      <c r="BK51" s="1"/>
      <c r="BM51" s="63" t="s">
        <v>3613</v>
      </c>
      <c r="BO51" s="39"/>
      <c r="BQ51" s="42">
        <v>2039</v>
      </c>
      <c r="BR51" s="42">
        <v>17.289102532588039</v>
      </c>
      <c r="BS51" s="332"/>
      <c r="BT51" s="39"/>
      <c r="BU51" s="371"/>
      <c r="BW51" s="72">
        <f ca="1">BW26+BW47</f>
        <v>29</v>
      </c>
      <c r="BX51" s="72">
        <f ca="1">BX26+BX47</f>
        <v>2.031375227686703</v>
      </c>
      <c r="BZ51" s="1" t="s">
        <v>3598</v>
      </c>
      <c r="CA51" s="73" t="e">
        <f ca="1">CA50+CA45</f>
        <v>#REF!</v>
      </c>
      <c r="CC51" s="270"/>
      <c r="CD51" s="39"/>
      <c r="CE51" s="39"/>
      <c r="CF51" s="39"/>
      <c r="CG51" s="39"/>
      <c r="CH51" s="39"/>
      <c r="CI51" s="39"/>
      <c r="CJ51" s="39"/>
      <c r="CK51" s="39"/>
      <c r="CL51" s="39"/>
      <c r="CM51" s="39"/>
      <c r="CN51" s="282">
        <f ca="1">CN47*-1</f>
        <v>-37.031971036351479</v>
      </c>
      <c r="CO51" s="270"/>
    </row>
    <row r="52" spans="1:93">
      <c r="A52" s="7"/>
      <c r="B52" s="7"/>
      <c r="C52" s="7"/>
      <c r="D52" s="7"/>
      <c r="E52" s="7"/>
      <c r="F52" s="439"/>
      <c r="G52" s="570" t="str">
        <f ca="1">CA177</f>
        <v>Το ΑΠΟ</v>
      </c>
      <c r="H52" s="458"/>
      <c r="I52" s="384" t="str">
        <f ca="1">CA147</f>
        <v xml:space="preserve">Δυτικά </v>
      </c>
      <c r="J52" s="459"/>
      <c r="K52" s="7"/>
      <c r="L52" s="7"/>
      <c r="M52" s="7"/>
      <c r="N52" s="7"/>
      <c r="O52" s="7"/>
      <c r="P52" s="7"/>
      <c r="Q52" s="7"/>
      <c r="R52" s="7"/>
      <c r="U52" s="62" t="s">
        <v>3614</v>
      </c>
      <c r="V52" s="62">
        <f>IF(V46=-1,-2,0)</f>
        <v>0</v>
      </c>
      <c r="AE52" s="42">
        <v>6</v>
      </c>
      <c r="AF52" s="42">
        <v>30</v>
      </c>
      <c r="AG52" s="1">
        <v>151</v>
      </c>
      <c r="AH52" s="394">
        <v>6.5129629629629621E-2</v>
      </c>
      <c r="AI52" s="394">
        <v>9.9352777777777774</v>
      </c>
      <c r="AJ52" s="41">
        <v>6.5120370370370342E-2</v>
      </c>
      <c r="AK52" s="41">
        <v>9.9447222222222216</v>
      </c>
      <c r="AL52" s="401">
        <v>9.2592592592782852E-6</v>
      </c>
      <c r="AM52" s="401">
        <v>-9.4444444444441444E-3</v>
      </c>
      <c r="AO52" s="1" t="s">
        <v>3527</v>
      </c>
      <c r="AP52" s="1">
        <f ca="1">AP46-2020</f>
        <v>-2020</v>
      </c>
      <c r="AR52" s="1" t="s">
        <v>3523</v>
      </c>
      <c r="AS52" s="433">
        <f ca="1">AS50-AS51</f>
        <v>0.40503566646866868</v>
      </c>
      <c r="AV52" s="272"/>
      <c r="AW52" s="277">
        <f ca="1">AS69</f>
        <v>23.520118332657599</v>
      </c>
      <c r="AX52" s="39"/>
      <c r="AY52" s="39"/>
      <c r="AZ52" s="39"/>
      <c r="BA52" s="39">
        <v>30</v>
      </c>
      <c r="BB52" s="39">
        <f t="shared" ca="1" si="19"/>
        <v>23.520118332657599</v>
      </c>
      <c r="BC52" s="39">
        <f t="shared" ca="1" si="20"/>
        <v>0</v>
      </c>
      <c r="BD52" s="39"/>
      <c r="BE52" s="39">
        <v>30</v>
      </c>
      <c r="BF52" s="39">
        <f t="shared" ca="1" si="21"/>
        <v>-1</v>
      </c>
      <c r="BG52" s="39">
        <f t="shared" ca="1" si="22"/>
        <v>10</v>
      </c>
      <c r="BH52" s="272"/>
      <c r="BJ52" s="1" t="s">
        <v>3615</v>
      </c>
      <c r="BK52" s="1"/>
      <c r="BM52" s="1" t="s">
        <v>3616</v>
      </c>
      <c r="BO52" s="39"/>
      <c r="BQ52" s="42">
        <v>2040</v>
      </c>
      <c r="BR52" s="42">
        <v>17.305791903697319</v>
      </c>
      <c r="BS52" s="332"/>
      <c r="BT52" s="39"/>
      <c r="BU52" s="371"/>
      <c r="CC52" s="273" t="s">
        <v>2782</v>
      </c>
      <c r="CD52" s="272"/>
      <c r="CE52" s="272"/>
      <c r="CF52" s="272"/>
      <c r="CG52" s="272"/>
      <c r="CH52" s="272"/>
      <c r="CI52" s="272"/>
      <c r="CJ52" s="272"/>
      <c r="CK52" s="272"/>
      <c r="CL52" s="272"/>
      <c r="CM52" s="272"/>
      <c r="CN52" s="272"/>
      <c r="CO52" s="273" t="s">
        <v>2783</v>
      </c>
    </row>
    <row r="53" spans="1:93">
      <c r="A53" s="7"/>
      <c r="B53" s="7"/>
      <c r="C53" s="7"/>
      <c r="D53" s="7"/>
      <c r="E53" s="7"/>
      <c r="F53" s="439" t="s">
        <v>3561</v>
      </c>
      <c r="G53" s="570" t="str">
        <f ca="1">CA178</f>
        <v>Ωριαία γωνία</v>
      </c>
      <c r="H53" s="220"/>
      <c r="I53" s="461"/>
      <c r="J53" s="215"/>
      <c r="K53" s="7"/>
      <c r="L53" s="7"/>
      <c r="M53" s="7"/>
      <c r="N53" s="7"/>
      <c r="O53" s="7"/>
      <c r="P53" s="7"/>
      <c r="Q53" s="7"/>
      <c r="R53" s="7"/>
      <c r="U53" s="1" t="s">
        <v>3617</v>
      </c>
      <c r="V53" s="87">
        <f>V51+V52</f>
        <v>0</v>
      </c>
      <c r="Y53" s="278"/>
      <c r="AE53" s="42">
        <v>7</v>
      </c>
      <c r="AF53" s="42">
        <v>31</v>
      </c>
      <c r="AG53" s="1">
        <v>181</v>
      </c>
      <c r="AH53" s="394">
        <v>6.5008960573476687E-2</v>
      </c>
      <c r="AI53" s="394">
        <v>11.889166666666666</v>
      </c>
      <c r="AJ53" s="41">
        <v>6.4946236559139794E-2</v>
      </c>
      <c r="AK53" s="41">
        <v>11.898333333333332</v>
      </c>
      <c r="AL53" s="401">
        <v>6.2724014336892897E-5</v>
      </c>
      <c r="AM53" s="401">
        <v>-9.1666666666654351E-3</v>
      </c>
      <c r="AO53" s="1" t="s">
        <v>3532</v>
      </c>
      <c r="AP53" s="1">
        <f ca="1">AP52/20*AM60</f>
        <v>8.4166666666590118E-2</v>
      </c>
      <c r="AR53" s="1" t="s">
        <v>3529</v>
      </c>
      <c r="AS53" s="59">
        <f ca="1">AS45-AS52</f>
        <v>1.6410763335313312</v>
      </c>
      <c r="AV53" s="272"/>
      <c r="AW53" s="278" t="s">
        <v>2672</v>
      </c>
      <c r="AX53" s="39"/>
      <c r="AY53" s="39"/>
      <c r="AZ53" s="39"/>
      <c r="BA53" s="39">
        <v>20</v>
      </c>
      <c r="BB53" s="39">
        <f t="shared" ca="1" si="19"/>
        <v>-1</v>
      </c>
      <c r="BC53" s="39">
        <f t="shared" ca="1" si="20"/>
        <v>10</v>
      </c>
      <c r="BD53" s="39"/>
      <c r="BE53" s="39">
        <v>20</v>
      </c>
      <c r="BF53" s="39">
        <f t="shared" ca="1" si="21"/>
        <v>-1</v>
      </c>
      <c r="BG53" s="39">
        <f t="shared" ca="1" si="22"/>
        <v>10</v>
      </c>
      <c r="BH53" s="272"/>
      <c r="BJ53" s="1" t="s">
        <v>3618</v>
      </c>
      <c r="BK53" s="1"/>
      <c r="BM53" s="1" t="s">
        <v>3619</v>
      </c>
      <c r="BQ53" s="70">
        <v>2041</v>
      </c>
      <c r="BR53" s="70">
        <v>0</v>
      </c>
      <c r="BS53" s="332"/>
      <c r="BT53" s="39"/>
      <c r="BU53" s="371"/>
      <c r="BZ53" s="1" t="s">
        <v>3620</v>
      </c>
      <c r="CA53" s="61">
        <f>CA20</f>
        <v>18.893083333333333</v>
      </c>
    </row>
    <row r="54" spans="1:93">
      <c r="A54" s="7"/>
      <c r="B54" s="7"/>
      <c r="C54" s="7"/>
      <c r="D54" s="7"/>
      <c r="E54" s="7"/>
      <c r="F54" s="415"/>
      <c r="G54" s="486" t="s">
        <v>3565</v>
      </c>
      <c r="H54" s="217"/>
      <c r="I54" s="384">
        <f ca="1">CA173</f>
        <v>7</v>
      </c>
      <c r="J54" s="220"/>
      <c r="K54" s="7"/>
      <c r="L54" s="7"/>
      <c r="M54" s="7"/>
      <c r="N54" s="7"/>
      <c r="O54" s="7"/>
      <c r="P54" s="7"/>
      <c r="Q54" s="7"/>
      <c r="R54" s="7"/>
      <c r="U54" s="62" t="s">
        <v>3621</v>
      </c>
      <c r="V54" s="59" t="str">
        <f>IF(V53=0,"",U54)</f>
        <v/>
      </c>
      <c r="Y54" s="39"/>
      <c r="AE54" s="42">
        <v>8</v>
      </c>
      <c r="AF54" s="42">
        <v>31</v>
      </c>
      <c r="AG54" s="1">
        <v>212</v>
      </c>
      <c r="AH54" s="394">
        <v>6.4991039426523289E-2</v>
      </c>
      <c r="AI54" s="394">
        <v>13.904444444444444</v>
      </c>
      <c r="AJ54" s="41">
        <v>6.4892473118279573E-2</v>
      </c>
      <c r="AK54" s="41">
        <v>13.911666666666665</v>
      </c>
      <c r="AL54" s="401">
        <v>9.8566308243716594E-5</v>
      </c>
      <c r="AM54" s="401">
        <v>-7.2222222222215748E-3</v>
      </c>
      <c r="AO54" s="1" t="s">
        <v>3537</v>
      </c>
      <c r="AP54" s="444">
        <f ca="1">AI60-AP53</f>
        <v>1.9616666666667442</v>
      </c>
      <c r="AR54" s="1" t="s">
        <v>3534</v>
      </c>
      <c r="AS54" s="1">
        <f ca="1">AS41-1</f>
        <v>2</v>
      </c>
      <c r="AV54" s="272"/>
      <c r="AW54" s="73">
        <f ca="1">IF(AY49=1,BG77,BG81)</f>
        <v>23</v>
      </c>
      <c r="AX54" s="39"/>
      <c r="AY54" s="39"/>
      <c r="AZ54" s="39"/>
      <c r="BA54" s="39">
        <v>10</v>
      </c>
      <c r="BB54" s="39">
        <f t="shared" ca="1" si="19"/>
        <v>-1</v>
      </c>
      <c r="BC54" s="39">
        <f t="shared" ca="1" si="20"/>
        <v>10</v>
      </c>
      <c r="BD54" s="39"/>
      <c r="BE54" s="39">
        <v>10</v>
      </c>
      <c r="BF54" s="39">
        <f t="shared" ca="1" si="21"/>
        <v>-1</v>
      </c>
      <c r="BG54" s="39">
        <f t="shared" ca="1" si="22"/>
        <v>10</v>
      </c>
      <c r="BH54" s="272"/>
      <c r="BJ54" s="1" t="s">
        <v>9</v>
      </c>
      <c r="BK54" s="1">
        <v>0</v>
      </c>
      <c r="BM54" s="1" t="s">
        <v>3592</v>
      </c>
      <c r="BP54" s="39"/>
      <c r="BQ54" s="1" t="s">
        <v>2672</v>
      </c>
      <c r="BR54" s="72">
        <f ca="1">LOOKUP(BR10,(BQ12:BQ53),(BR12:BR53))</f>
        <v>17.299701507404215</v>
      </c>
      <c r="BS54" s="491"/>
      <c r="BT54" s="86"/>
      <c r="BZ54" s="1" t="s">
        <v>3622</v>
      </c>
      <c r="CA54" s="288">
        <f ca="1">CA45-CA53</f>
        <v>-16.439713341378791</v>
      </c>
    </row>
    <row r="55" spans="1:93">
      <c r="A55" s="7"/>
      <c r="B55" s="7"/>
      <c r="C55" s="7"/>
      <c r="D55" s="7"/>
      <c r="E55" s="7"/>
      <c r="F55" s="415"/>
      <c r="G55" s="215" t="s">
        <v>3569</v>
      </c>
      <c r="H55" s="217"/>
      <c r="I55" s="384">
        <f ca="1">CA174</f>
        <v>50</v>
      </c>
      <c r="J55" s="220"/>
      <c r="K55" s="7"/>
      <c r="L55" s="7"/>
      <c r="M55" s="7"/>
      <c r="N55" s="7"/>
      <c r="O55" s="7"/>
      <c r="P55" s="7"/>
      <c r="Q55" s="7"/>
      <c r="R55" s="7"/>
      <c r="U55" s="1" t="s">
        <v>3623</v>
      </c>
      <c r="V55" s="59" t="str">
        <f>IF(V53=0,"",U55)</f>
        <v/>
      </c>
      <c r="Y55" s="39"/>
      <c r="AE55" s="42">
        <v>9</v>
      </c>
      <c r="AF55" s="42">
        <v>30</v>
      </c>
      <c r="AG55" s="1">
        <v>243</v>
      </c>
      <c r="AH55" s="394">
        <v>6.507407407407409E-2</v>
      </c>
      <c r="AI55" s="394">
        <v>15.919166666666666</v>
      </c>
      <c r="AJ55" s="41">
        <v>6.4953703703703722E-2</v>
      </c>
      <c r="AK55" s="41">
        <v>15.923333333333332</v>
      </c>
      <c r="AL55" s="401">
        <v>1.2037037037036791E-4</v>
      </c>
      <c r="AM55" s="401">
        <v>-4.1666666666664298E-3</v>
      </c>
      <c r="AR55" s="1" t="s">
        <v>3624</v>
      </c>
      <c r="AS55" s="1">
        <f ca="1">AS54*AS46</f>
        <v>0.13208806896551722</v>
      </c>
      <c r="AV55" s="272"/>
      <c r="AW55" s="73">
        <f ca="1">IF(AY49=1,BG78,BG82)</f>
        <v>31</v>
      </c>
      <c r="AX55" s="39"/>
      <c r="AY55" s="39"/>
      <c r="AZ55" s="39"/>
      <c r="BA55" s="39"/>
      <c r="BB55" s="39"/>
      <c r="BC55" s="279">
        <f ca="1">SUM(BC46:BC54)</f>
        <v>20</v>
      </c>
      <c r="BD55" s="39"/>
      <c r="BE55" s="39"/>
      <c r="BF55" s="39"/>
      <c r="BG55" s="279">
        <f ca="1">SUM(BG46:BG54)</f>
        <v>30</v>
      </c>
      <c r="BH55" s="272"/>
      <c r="BJ55" s="1" t="s">
        <v>2810</v>
      </c>
      <c r="BK55" s="1">
        <v>3</v>
      </c>
      <c r="BM55" s="1" t="s">
        <v>3563</v>
      </c>
      <c r="BP55" s="39"/>
      <c r="BQ55" s="39"/>
      <c r="BR55" s="39"/>
      <c r="BS55" s="332"/>
      <c r="BT55" s="39"/>
      <c r="BU55" s="39"/>
      <c r="BZ55" s="1" t="s">
        <v>3625</v>
      </c>
      <c r="CA55" s="480">
        <f ca="1">24+CA54</f>
        <v>7.5602866586212087</v>
      </c>
    </row>
    <row r="56" spans="1:93">
      <c r="A56" s="7"/>
      <c r="B56" s="7"/>
      <c r="C56" s="7"/>
      <c r="D56" s="7"/>
      <c r="E56" s="7"/>
      <c r="F56" s="470"/>
      <c r="G56" s="215" t="s">
        <v>3571</v>
      </c>
      <c r="H56" s="217"/>
      <c r="I56" s="471">
        <f ca="1">CA175</f>
        <v>15.831971036352854</v>
      </c>
      <c r="J56" s="220"/>
      <c r="K56" s="7"/>
      <c r="L56" s="7"/>
      <c r="M56" s="7"/>
      <c r="N56" s="7"/>
      <c r="O56" s="7"/>
      <c r="P56" s="7"/>
      <c r="Q56" s="7"/>
      <c r="R56" s="7"/>
      <c r="U56" s="1" t="s">
        <v>3626</v>
      </c>
      <c r="V56" s="20">
        <f>IF(V53=0,0,1)</f>
        <v>0</v>
      </c>
      <c r="Y56" s="39"/>
      <c r="AE56" s="42">
        <v>10</v>
      </c>
      <c r="AF56" s="42">
        <v>31</v>
      </c>
      <c r="AG56" s="1">
        <v>273</v>
      </c>
      <c r="AH56" s="394">
        <v>6.5241935483870972E-2</v>
      </c>
      <c r="AI56" s="394">
        <v>17.871388888888887</v>
      </c>
      <c r="AJ56" s="41">
        <v>6.5134408602150529E-2</v>
      </c>
      <c r="AK56" s="41">
        <v>17.871944444444445</v>
      </c>
      <c r="AL56" s="401">
        <v>1.0752688172044333E-4</v>
      </c>
      <c r="AM56" s="401">
        <v>-5.5555555555741876E-4</v>
      </c>
      <c r="AR56" s="1" t="s">
        <v>3546</v>
      </c>
      <c r="AS56" s="1">
        <f ca="1">AS53+AS55</f>
        <v>1.7731644024968485</v>
      </c>
      <c r="AV56" s="272"/>
      <c r="AW56" s="73">
        <f ca="1">IF(AY49=1,BG79,BG83)</f>
        <v>12.42599756735757</v>
      </c>
      <c r="AX56" s="39"/>
      <c r="AY56" s="39"/>
      <c r="AZ56" s="39"/>
      <c r="BA56" s="39"/>
      <c r="BB56" s="39"/>
      <c r="BC56" s="280">
        <f ca="1">BB45-BC55</f>
        <v>3.5201183326575993</v>
      </c>
      <c r="BD56" s="39"/>
      <c r="BE56" s="39"/>
      <c r="BF56" s="39"/>
      <c r="BG56" s="280">
        <f ca="1">BF45-BG55</f>
        <v>1.2070999594559595</v>
      </c>
      <c r="BH56" s="272"/>
      <c r="BJ56" s="1" t="s">
        <v>2731</v>
      </c>
      <c r="BK56" s="1">
        <v>55.900342000000002</v>
      </c>
      <c r="BM56" s="1" t="s">
        <v>3627</v>
      </c>
      <c r="BP56" s="39"/>
      <c r="BQ56" s="39"/>
      <c r="BR56" s="39"/>
      <c r="BS56" s="332"/>
      <c r="BT56" s="39"/>
      <c r="BU56" s="39"/>
      <c r="BZ56" s="1" t="s">
        <v>3628</v>
      </c>
      <c r="CA56" s="62">
        <f ca="1">IF(CA54&lt;0,CA55,CA54)</f>
        <v>7.5602866586212087</v>
      </c>
    </row>
    <row r="57" spans="1:93">
      <c r="A57" s="7"/>
      <c r="B57" s="7"/>
      <c r="C57" s="7"/>
      <c r="D57" s="7"/>
      <c r="E57" s="7"/>
      <c r="F57" s="472"/>
      <c r="G57" s="473"/>
      <c r="H57" s="216"/>
      <c r="I57" s="446"/>
      <c r="J57" s="216"/>
      <c r="K57" s="7"/>
      <c r="L57" s="7"/>
      <c r="M57" s="7"/>
      <c r="N57" s="7"/>
      <c r="O57" s="7"/>
      <c r="P57" s="7"/>
      <c r="Q57" s="7"/>
      <c r="R57" s="7"/>
      <c r="U57" s="1" t="s">
        <v>3629</v>
      </c>
      <c r="V57" s="1" t="str">
        <f>IF(V50=-1,U57,"")</f>
        <v/>
      </c>
      <c r="Y57" s="39"/>
      <c r="AE57" s="42">
        <v>11</v>
      </c>
      <c r="AF57" s="42">
        <v>30</v>
      </c>
      <c r="AG57" s="1">
        <v>304</v>
      </c>
      <c r="AH57" s="394">
        <v>6.5510752688172053E-2</v>
      </c>
      <c r="AI57" s="394">
        <v>19.893888888888888</v>
      </c>
      <c r="AJ57" s="41">
        <v>6.5394265232974938E-2</v>
      </c>
      <c r="AK57" s="41">
        <v>19.891111111111112</v>
      </c>
      <c r="AL57" s="401">
        <v>1.1648745519711456E-4</v>
      </c>
      <c r="AM57" s="401">
        <v>2.7777777777764356E-3</v>
      </c>
      <c r="AR57" s="1" t="s">
        <v>3630</v>
      </c>
      <c r="AS57" s="82">
        <f ca="1">AS38-AS56</f>
        <v>18.467391153058706</v>
      </c>
      <c r="AV57" s="272"/>
      <c r="AW57" s="39"/>
      <c r="AX57" s="39"/>
      <c r="AY57" s="39"/>
      <c r="AZ57" s="39"/>
      <c r="BA57" s="39"/>
      <c r="BB57" s="68">
        <f ca="1">BC56</f>
        <v>3.5201183326575993</v>
      </c>
      <c r="BC57" s="39"/>
      <c r="BD57" s="39"/>
      <c r="BE57" s="39"/>
      <c r="BF57" s="68">
        <f ca="1">BG56</f>
        <v>1.2070999594559595</v>
      </c>
      <c r="BG57" s="39"/>
      <c r="BH57" s="272"/>
      <c r="BJ57" s="1"/>
      <c r="BK57" s="1"/>
      <c r="BM57" s="1">
        <v>17.267777777777777</v>
      </c>
      <c r="BP57" s="39"/>
      <c r="BQ57" s="39"/>
      <c r="BR57" s="39"/>
      <c r="BS57" s="332"/>
      <c r="BT57" s="39"/>
      <c r="BU57" s="39"/>
      <c r="BZ57" s="1" t="s">
        <v>3631</v>
      </c>
      <c r="CA57" s="275">
        <f ca="1">CA56</f>
        <v>7.5602866586212087</v>
      </c>
    </row>
    <row r="58" spans="1:93">
      <c r="A58" s="7"/>
      <c r="B58" s="7"/>
      <c r="C58" s="7"/>
      <c r="D58" s="7"/>
      <c r="E58" s="7"/>
      <c r="F58" s="7"/>
      <c r="G58" s="7"/>
      <c r="H58" s="7"/>
      <c r="I58" s="7"/>
      <c r="J58" s="7"/>
      <c r="K58" s="7"/>
      <c r="L58" s="7"/>
      <c r="M58" s="7"/>
      <c r="N58" s="7"/>
      <c r="O58" s="7"/>
      <c r="P58" s="7"/>
      <c r="Q58" s="7"/>
      <c r="R58" s="7"/>
      <c r="U58" s="1" t="s">
        <v>3632</v>
      </c>
      <c r="V58" s="1" t="str">
        <f>IF(V46=0,U58,"")</f>
        <v>Ώρα Ελλάδος</v>
      </c>
      <c r="Y58" s="39"/>
      <c r="AE58" s="42">
        <v>12</v>
      </c>
      <c r="AF58" s="42">
        <v>31</v>
      </c>
      <c r="AG58" s="1">
        <v>334</v>
      </c>
      <c r="AH58" s="394">
        <v>6.5787037037037047E-2</v>
      </c>
      <c r="AI58" s="394">
        <v>21.859211469534049</v>
      </c>
      <c r="AJ58" s="41">
        <v>6.5750000000000003E-2</v>
      </c>
      <c r="AK58" s="41">
        <v>21.852939068100358</v>
      </c>
      <c r="AL58" s="401">
        <v>3.7037037037043752E-5</v>
      </c>
      <c r="AM58" s="401">
        <v>6.2724014336907885E-3</v>
      </c>
      <c r="AO58" s="63" t="s">
        <v>3633</v>
      </c>
      <c r="AR58" s="1" t="s">
        <v>3555</v>
      </c>
      <c r="AS58" s="1">
        <f ca="1">24-AS46</f>
        <v>23.933955965517242</v>
      </c>
      <c r="AV58" s="272"/>
      <c r="AW58" s="91">
        <f ca="1">IF(AY50=0,0,AW54)</f>
        <v>23</v>
      </c>
      <c r="AX58" s="39"/>
      <c r="AY58" s="39"/>
      <c r="AZ58" s="39"/>
      <c r="BA58" s="39">
        <v>9</v>
      </c>
      <c r="BB58" s="39">
        <f ca="1">IF(BA58&gt;BB57,BB57,-1)</f>
        <v>3.5201183326575993</v>
      </c>
      <c r="BC58" s="39">
        <f ca="1">IF(BB58=-1,1,0)</f>
        <v>0</v>
      </c>
      <c r="BD58" s="39"/>
      <c r="BE58" s="39">
        <v>9</v>
      </c>
      <c r="BF58" s="39">
        <f ca="1">IF(BE58&gt;BF57,BF57,-1)</f>
        <v>1.2070999594559595</v>
      </c>
      <c r="BG58" s="39">
        <f ca="1">IF(BF58=-1,1,0)</f>
        <v>0</v>
      </c>
      <c r="BH58" s="272"/>
      <c r="BJ58" s="63" t="s">
        <v>3634</v>
      </c>
      <c r="BK58" s="1"/>
      <c r="BZ58" s="1" t="s">
        <v>3635</v>
      </c>
      <c r="CA58" s="1">
        <f ca="1">12-CA56</f>
        <v>4.4397133413787913</v>
      </c>
    </row>
    <row r="59" spans="1:93">
      <c r="A59" s="7"/>
      <c r="B59" s="7"/>
      <c r="C59" s="7"/>
      <c r="D59" s="7"/>
      <c r="E59" s="7"/>
      <c r="F59" s="7"/>
      <c r="G59" s="7"/>
      <c r="H59" s="7"/>
      <c r="I59" s="7"/>
      <c r="J59" s="7"/>
      <c r="K59" s="7"/>
      <c r="L59" s="7"/>
      <c r="M59" s="7"/>
      <c r="N59" s="7"/>
      <c r="O59" s="7"/>
      <c r="P59" s="7"/>
      <c r="Q59" s="7"/>
      <c r="R59" s="7"/>
      <c r="V59" s="82" t="str">
        <f>CONCATENATE(V57,V58)</f>
        <v>Ώρα Ελλάδος</v>
      </c>
      <c r="Y59" s="39"/>
      <c r="AE59" s="70">
        <v>13</v>
      </c>
      <c r="AF59" s="70"/>
      <c r="AG59" s="260">
        <v>0</v>
      </c>
      <c r="AH59" s="369">
        <v>0</v>
      </c>
      <c r="AI59" s="369"/>
      <c r="AJ59" s="345">
        <v>0</v>
      </c>
      <c r="AK59" s="345">
        <v>0</v>
      </c>
      <c r="AL59" s="407">
        <v>0</v>
      </c>
      <c r="AM59" s="407">
        <v>0</v>
      </c>
      <c r="AR59" s="1" t="s">
        <v>3560</v>
      </c>
      <c r="AS59" s="1">
        <f ca="1">IF(AS57&lt;0,AS58,0)</f>
        <v>0</v>
      </c>
      <c r="AV59" s="272"/>
      <c r="AW59" s="91">
        <f ca="1">IF(AY50=0,0,AW55)</f>
        <v>31</v>
      </c>
      <c r="AX59" s="39"/>
      <c r="AY59" s="39"/>
      <c r="AZ59" s="39"/>
      <c r="BA59" s="39">
        <v>8</v>
      </c>
      <c r="BB59" s="39">
        <f t="shared" ref="BB59:BB66" ca="1" si="23">IF(BA59&gt;BB58,BB58,-1)</f>
        <v>3.5201183326575993</v>
      </c>
      <c r="BC59" s="39">
        <f t="shared" ref="BC59:BC66" ca="1" si="24">IF(BB59=-1,1,0)</f>
        <v>0</v>
      </c>
      <c r="BD59" s="39"/>
      <c r="BE59" s="39">
        <v>8</v>
      </c>
      <c r="BF59" s="39">
        <f t="shared" ref="BF59:BF66" ca="1" si="25">IF(BE59&gt;BF58,BF58,-1)</f>
        <v>1.2070999594559595</v>
      </c>
      <c r="BG59" s="39">
        <f t="shared" ref="BG59:BG66" ca="1" si="26">IF(BF59=-1,1,0)</f>
        <v>0</v>
      </c>
      <c r="BH59" s="272"/>
      <c r="BJ59" s="393" t="s">
        <v>2761</v>
      </c>
      <c r="BK59" s="1"/>
      <c r="BZ59" s="1" t="s">
        <v>3636</v>
      </c>
      <c r="CA59" s="82" t="str">
        <f ca="1">IF(CA58&lt;0,BZ61,BZ62)</f>
        <v xml:space="preserve">Δυτικά </v>
      </c>
    </row>
    <row r="60" spans="1:93">
      <c r="A60" s="61"/>
      <c r="B60" s="61"/>
      <c r="C60" s="61"/>
      <c r="D60" s="61"/>
      <c r="E60" s="61"/>
      <c r="F60" s="61"/>
      <c r="G60" s="61"/>
      <c r="H60" s="61"/>
      <c r="I60" s="61"/>
      <c r="J60" s="61"/>
      <c r="K60" s="61"/>
      <c r="L60" s="61"/>
      <c r="M60" s="61"/>
      <c r="N60" s="61"/>
      <c r="O60" s="61"/>
      <c r="P60" s="61"/>
      <c r="Q60" s="61"/>
      <c r="R60" s="61"/>
      <c r="V60" s="59" t="str">
        <f>CONCATENATE(V55,V59)</f>
        <v>Ώρα Ελλάδος</v>
      </c>
      <c r="Y60" s="39"/>
      <c r="AE60" s="1" t="s">
        <v>2672</v>
      </c>
      <c r="AF60" s="73">
        <f ca="1">LOOKUP(AF44,(AE46:AE59),(AF46:AF59))</f>
        <v>28</v>
      </c>
      <c r="AG60" s="466">
        <f ca="1">LOOKUP(AF44,(AE46:AE59),(AG46:AG59))</f>
        <v>31</v>
      </c>
      <c r="AH60" s="467">
        <f ca="1">LOOKUP(AF44,(AE46:AE59),(AH46:AH59))</f>
        <v>6.6051587301587292E-2</v>
      </c>
      <c r="AI60" s="467">
        <f ca="1">LOOKUP(AF44,(AE46:AE59),(AI46:AI59))</f>
        <v>2.0458333333333343</v>
      </c>
      <c r="AJ60" s="468">
        <f ca="1">LOOKUP(AF44,(AE46:AE59),(AJ46:AJ59))</f>
        <v>6.6121031746031705E-2</v>
      </c>
      <c r="AK60" s="468">
        <f ca="1">LOOKUP(AF44,(AE46:AE59),(AK46:AK59))</f>
        <v>2.0466666666666669</v>
      </c>
      <c r="AL60" s="469">
        <f ca="1">LOOKUP(AF44,(AE46:AE59),(AL46:AL59))</f>
        <v>-6.9444444444413667E-5</v>
      </c>
      <c r="AM60" s="469">
        <f ca="1">LOOKUP(AF44,(AE46:AE59),(AM46:AM59))</f>
        <v>-8.3333333333257542E-4</v>
      </c>
      <c r="AO60" s="1" t="s">
        <v>3596</v>
      </c>
      <c r="AP60" s="72">
        <f ca="1">IF(AB18=1,AP29,AP50)</f>
        <v>6.6044034482758612E-2</v>
      </c>
      <c r="AR60" s="1" t="s">
        <v>3637</v>
      </c>
      <c r="AS60" s="1">
        <f ca="1">AS57+AS59</f>
        <v>18.467391153058706</v>
      </c>
      <c r="AV60" s="272"/>
      <c r="AW60" s="91">
        <f ca="1">IF(AY50=0,0,AW56)</f>
        <v>12.42599756735757</v>
      </c>
      <c r="AX60" s="39"/>
      <c r="AY60" s="39"/>
      <c r="AZ60" s="39"/>
      <c r="BA60" s="39">
        <v>7</v>
      </c>
      <c r="BB60" s="39">
        <f t="shared" ca="1" si="23"/>
        <v>3.5201183326575993</v>
      </c>
      <c r="BC60" s="39">
        <f t="shared" ca="1" si="24"/>
        <v>0</v>
      </c>
      <c r="BD60" s="39"/>
      <c r="BE60" s="39">
        <v>7</v>
      </c>
      <c r="BF60" s="39">
        <f t="shared" ca="1" si="25"/>
        <v>1.2070999594559595</v>
      </c>
      <c r="BG60" s="39">
        <f t="shared" ca="1" si="26"/>
        <v>0</v>
      </c>
      <c r="BH60" s="272"/>
      <c r="BJ60" s="1" t="s">
        <v>3473</v>
      </c>
      <c r="BK60" s="210">
        <v>1296000</v>
      </c>
      <c r="BZ60" s="1" t="s">
        <v>3638</v>
      </c>
      <c r="CA60" s="88" t="str">
        <f ca="1">IF(CA85=0,CA59,"")</f>
        <v xml:space="preserve">Δυτικά </v>
      </c>
    </row>
    <row r="61" spans="1:93">
      <c r="A61" s="61"/>
      <c r="B61" s="61"/>
      <c r="C61" s="61"/>
      <c r="D61" s="61"/>
      <c r="E61" s="61"/>
      <c r="F61" s="61"/>
      <c r="G61" s="61"/>
      <c r="H61" s="61"/>
      <c r="I61" s="61"/>
      <c r="J61" s="61"/>
      <c r="K61" s="61"/>
      <c r="L61" s="61"/>
      <c r="M61" s="61"/>
      <c r="N61" s="61"/>
      <c r="O61" s="61"/>
      <c r="P61" s="61"/>
      <c r="Q61" s="61"/>
      <c r="R61" s="61"/>
      <c r="Y61" s="39"/>
      <c r="AO61" s="1" t="s">
        <v>3484</v>
      </c>
      <c r="AP61" s="72">
        <f ca="1">IF(AB18=1,AP33,AP54)</f>
        <v>2.0461119999999999</v>
      </c>
      <c r="AR61" s="1" t="s">
        <v>3639</v>
      </c>
      <c r="AS61" s="74">
        <f ca="1">AS60+AH125</f>
        <v>18.467441244133386</v>
      </c>
      <c r="AV61" s="272"/>
      <c r="AW61" s="39" t="s">
        <v>2773</v>
      </c>
      <c r="AX61" s="39"/>
      <c r="AY61" s="39"/>
      <c r="AZ61" s="39"/>
      <c r="BA61" s="39">
        <v>6</v>
      </c>
      <c r="BB61" s="39">
        <f t="shared" ca="1" si="23"/>
        <v>3.5201183326575993</v>
      </c>
      <c r="BC61" s="39">
        <f t="shared" ca="1" si="24"/>
        <v>0</v>
      </c>
      <c r="BD61" s="39"/>
      <c r="BE61" s="39">
        <v>6</v>
      </c>
      <c r="BF61" s="39">
        <f t="shared" ca="1" si="25"/>
        <v>1.2070999594559595</v>
      </c>
      <c r="BG61" s="39">
        <f t="shared" ca="1" si="26"/>
        <v>0</v>
      </c>
      <c r="BH61" s="272"/>
      <c r="BJ61" s="1" t="s">
        <v>3640</v>
      </c>
      <c r="BK61" s="210">
        <v>50.26</v>
      </c>
      <c r="BZ61" s="1" t="s">
        <v>3641</v>
      </c>
    </row>
    <row r="62" spans="1:93">
      <c r="A62" s="61"/>
      <c r="B62" s="61"/>
      <c r="C62" s="61"/>
      <c r="D62" s="61"/>
      <c r="E62" s="61"/>
      <c r="F62" s="61"/>
      <c r="G62" s="61"/>
      <c r="H62" s="61"/>
      <c r="I62" s="61"/>
      <c r="J62" s="61"/>
      <c r="K62" s="61"/>
      <c r="L62" s="61"/>
      <c r="M62" s="61"/>
      <c r="N62" s="61"/>
      <c r="O62" s="61"/>
      <c r="P62" s="61"/>
      <c r="Q62" s="61"/>
      <c r="R62" s="61"/>
      <c r="Y62" s="39"/>
      <c r="AD62" s="371" t="s">
        <v>3643</v>
      </c>
      <c r="AF62" s="72">
        <f ca="1">IF(AB18=1,AF36,AF60)</f>
        <v>29</v>
      </c>
      <c r="AR62" s="63" t="s">
        <v>3644</v>
      </c>
      <c r="AV62" s="272"/>
      <c r="AW62" s="93">
        <f ca="1">IF(AY64=4,"  -0",AW58)</f>
        <v>23</v>
      </c>
      <c r="AX62" s="39" t="s">
        <v>2774</v>
      </c>
      <c r="AY62" s="39">
        <f ca="1">IF(AW58=0,2,0)</f>
        <v>0</v>
      </c>
      <c r="AZ62" s="39"/>
      <c r="BA62" s="39">
        <v>5</v>
      </c>
      <c r="BB62" s="39">
        <f t="shared" ca="1" si="23"/>
        <v>3.5201183326575993</v>
      </c>
      <c r="BC62" s="39">
        <f t="shared" ca="1" si="24"/>
        <v>0</v>
      </c>
      <c r="BD62" s="39"/>
      <c r="BE62" s="39">
        <v>5</v>
      </c>
      <c r="BF62" s="39">
        <f t="shared" ca="1" si="25"/>
        <v>1.2070999594559595</v>
      </c>
      <c r="BG62" s="39">
        <f t="shared" ca="1" si="26"/>
        <v>0</v>
      </c>
      <c r="BH62" s="272"/>
      <c r="BJ62" s="1" t="s">
        <v>3645</v>
      </c>
      <c r="BK62" s="210">
        <v>365.24219264999999</v>
      </c>
      <c r="BZ62" s="1" t="s">
        <v>3646</v>
      </c>
    </row>
    <row r="63" spans="1:93">
      <c r="A63" s="61"/>
      <c r="B63" s="61"/>
      <c r="C63" s="61"/>
      <c r="D63" s="61"/>
      <c r="E63" s="61"/>
      <c r="F63" s="61"/>
      <c r="G63" s="61"/>
      <c r="H63" s="61"/>
      <c r="I63" s="61"/>
      <c r="J63" s="61"/>
      <c r="K63" s="61"/>
      <c r="L63" s="61"/>
      <c r="M63" s="61"/>
      <c r="N63" s="61"/>
      <c r="O63" s="61"/>
      <c r="P63" s="61"/>
      <c r="Q63" s="61"/>
      <c r="R63" s="61"/>
      <c r="V63" s="88" t="str">
        <f ca="1">IF(V70=0,V60,"")</f>
        <v>Ώρα Ελλάδος</v>
      </c>
      <c r="Y63" s="39"/>
      <c r="Z63" s="39"/>
      <c r="AD63" s="1" t="s">
        <v>3647</v>
      </c>
      <c r="AF63" s="72">
        <f ca="1">IF(AB18=1,AG36,AG60)</f>
        <v>31</v>
      </c>
      <c r="AR63" s="1" t="s">
        <v>3577</v>
      </c>
      <c r="AS63" s="1">
        <f ca="1">(AS44/60)+AS42</f>
        <v>17.988888888888887</v>
      </c>
      <c r="AV63" s="272"/>
      <c r="AW63" s="93">
        <f ca="1">BG78</f>
        <v>31</v>
      </c>
      <c r="AX63" s="39"/>
      <c r="AY63" s="39">
        <f ca="1">AY49</f>
        <v>1</v>
      </c>
      <c r="AZ63" s="39"/>
      <c r="BA63" s="39">
        <v>4</v>
      </c>
      <c r="BB63" s="39">
        <f t="shared" ca="1" si="23"/>
        <v>3.5201183326575993</v>
      </c>
      <c r="BC63" s="39">
        <f t="shared" ca="1" si="24"/>
        <v>0</v>
      </c>
      <c r="BD63" s="39"/>
      <c r="BE63" s="39">
        <v>4</v>
      </c>
      <c r="BF63" s="39">
        <f t="shared" ca="1" si="25"/>
        <v>1.2070999594559595</v>
      </c>
      <c r="BG63" s="39">
        <f t="shared" ca="1" si="26"/>
        <v>0</v>
      </c>
      <c r="BH63" s="272"/>
      <c r="BJ63" s="1"/>
      <c r="BK63" s="1"/>
      <c r="BZ63" s="1" t="s">
        <v>3648</v>
      </c>
      <c r="CA63" s="1">
        <f ca="1">IF(CA59=BZ61,CA54,CA57)</f>
        <v>7.5602866586212087</v>
      </c>
    </row>
    <row r="64" spans="1:93">
      <c r="A64" s="61"/>
      <c r="B64" s="61"/>
      <c r="C64" s="61"/>
      <c r="D64" s="61"/>
      <c r="E64" s="61"/>
      <c r="F64" s="69"/>
      <c r="G64" s="145" t="s">
        <v>3745</v>
      </c>
      <c r="H64" s="69"/>
      <c r="I64" s="145"/>
      <c r="J64" s="69"/>
      <c r="K64" s="69"/>
      <c r="L64" s="69"/>
      <c r="M64" s="69"/>
      <c r="N64" s="61"/>
      <c r="O64" s="61"/>
      <c r="P64" s="61"/>
      <c r="Q64" s="61"/>
      <c r="R64" s="61"/>
      <c r="V64" s="88" t="str">
        <f>IF(V68=0,V54,"")</f>
        <v/>
      </c>
      <c r="Y64" s="39"/>
      <c r="Z64" s="39"/>
      <c r="AR64" s="1" t="s">
        <v>3580</v>
      </c>
      <c r="AS64" s="85">
        <f ca="1">AS63-AS61</f>
        <v>-0.47855235524449924</v>
      </c>
      <c r="AV64" s="272"/>
      <c r="AW64" s="93">
        <f ca="1">BG79</f>
        <v>12.42599756735757</v>
      </c>
      <c r="AX64" s="39"/>
      <c r="AY64" s="39">
        <f ca="1">AY63+AY62</f>
        <v>1</v>
      </c>
      <c r="AZ64" s="39"/>
      <c r="BA64" s="39">
        <v>3</v>
      </c>
      <c r="BB64" s="39">
        <f t="shared" ca="1" si="23"/>
        <v>-1</v>
      </c>
      <c r="BC64" s="39">
        <f t="shared" ca="1" si="24"/>
        <v>1</v>
      </c>
      <c r="BD64" s="39"/>
      <c r="BE64" s="39">
        <v>3</v>
      </c>
      <c r="BF64" s="39">
        <f t="shared" ca="1" si="25"/>
        <v>1.2070999594559595</v>
      </c>
      <c r="BG64" s="39">
        <f t="shared" ca="1" si="26"/>
        <v>0</v>
      </c>
      <c r="BH64" s="272"/>
      <c r="BJ64" s="1" t="s">
        <v>3649</v>
      </c>
      <c r="BK64" s="1">
        <f>BK60-BK61</f>
        <v>1295949.74</v>
      </c>
      <c r="BZ64" s="1" t="s">
        <v>3650</v>
      </c>
      <c r="CA64" s="1">
        <f ca="1">-60*CA63</f>
        <v>-453.61719951727252</v>
      </c>
    </row>
    <row r="65" spans="1:79">
      <c r="A65" s="61"/>
      <c r="B65" s="61"/>
      <c r="C65" s="61"/>
      <c r="D65" s="61"/>
      <c r="E65" s="147"/>
      <c r="F65" s="492"/>
      <c r="G65" s="493" t="s">
        <v>2762</v>
      </c>
      <c r="H65" s="493"/>
      <c r="I65" s="493" t="s">
        <v>3403</v>
      </c>
      <c r="J65" s="493" t="s">
        <v>3412</v>
      </c>
      <c r="K65" s="493" t="str">
        <f ca="1">V21</f>
        <v/>
      </c>
      <c r="L65" s="493"/>
      <c r="M65" s="494"/>
      <c r="N65" s="156"/>
      <c r="O65" s="61"/>
      <c r="P65" s="61"/>
      <c r="Q65" s="61"/>
      <c r="R65" s="61"/>
      <c r="Y65" s="39"/>
      <c r="Z65" s="39"/>
      <c r="AF65" s="63" t="s">
        <v>3651</v>
      </c>
      <c r="AR65" s="335" t="s">
        <v>3582</v>
      </c>
      <c r="AS65" s="335">
        <f ca="1">IF(AS64&lt;0,2,1)</f>
        <v>2</v>
      </c>
      <c r="AV65" s="272"/>
      <c r="AW65" s="39"/>
      <c r="AX65" s="39"/>
      <c r="AY65" s="39"/>
      <c r="AZ65" s="39"/>
      <c r="BA65" s="39">
        <v>2</v>
      </c>
      <c r="BB65" s="39">
        <f t="shared" ca="1" si="23"/>
        <v>-1</v>
      </c>
      <c r="BC65" s="39">
        <f t="shared" ca="1" si="24"/>
        <v>1</v>
      </c>
      <c r="BD65" s="39"/>
      <c r="BE65" s="39">
        <v>2</v>
      </c>
      <c r="BF65" s="39">
        <f t="shared" ca="1" si="25"/>
        <v>1.2070999594559595</v>
      </c>
      <c r="BG65" s="39">
        <f t="shared" ca="1" si="26"/>
        <v>0</v>
      </c>
      <c r="BH65" s="272"/>
      <c r="BJ65" s="1" t="s">
        <v>3652</v>
      </c>
      <c r="BK65" s="1">
        <f>BK60/BK64</f>
        <v>1.0000387823682113</v>
      </c>
      <c r="BZ65" s="1" t="s">
        <v>3653</v>
      </c>
      <c r="CA65" s="1">
        <f ca="1">IF(CA64&lt;0,0,CA64)</f>
        <v>0</v>
      </c>
    </row>
    <row r="66" spans="1:79">
      <c r="A66" s="61"/>
      <c r="B66" s="61"/>
      <c r="C66" s="61"/>
      <c r="D66" s="61"/>
      <c r="E66" s="147"/>
      <c r="F66" s="496"/>
      <c r="G66" s="549">
        <f ca="1">V3</f>
        <v>2020</v>
      </c>
      <c r="H66" s="560"/>
      <c r="I66" s="549">
        <f ca="1">V5</f>
        <v>2</v>
      </c>
      <c r="J66" s="549">
        <f ca="1">V6</f>
        <v>3</v>
      </c>
      <c r="K66" s="561"/>
      <c r="L66" s="150" t="s">
        <v>3654</v>
      </c>
      <c r="M66" s="495"/>
      <c r="N66" s="156"/>
      <c r="O66" s="61"/>
      <c r="P66" s="61"/>
      <c r="Q66" s="61"/>
      <c r="R66" s="61"/>
      <c r="U66" s="1" t="s">
        <v>3738</v>
      </c>
      <c r="V66" s="525" t="str">
        <f ca="1">IF(V63=U55,U66,V63)</f>
        <v>Ώρα Ελλάδος</v>
      </c>
      <c r="Y66" s="39"/>
      <c r="Z66" s="39"/>
      <c r="AE66" s="1" t="s">
        <v>3655</v>
      </c>
      <c r="AR66" s="1" t="s">
        <v>3585</v>
      </c>
      <c r="AS66" s="87">
        <f ca="1">24+AS64</f>
        <v>23.521447644755501</v>
      </c>
      <c r="AV66" s="272"/>
      <c r="AW66" s="39"/>
      <c r="AX66" s="39"/>
      <c r="AY66" s="39"/>
      <c r="AZ66" s="39"/>
      <c r="BA66" s="39">
        <v>1</v>
      </c>
      <c r="BB66" s="39">
        <f t="shared" ca="1" si="23"/>
        <v>-1</v>
      </c>
      <c r="BC66" s="39">
        <f t="shared" ca="1" si="24"/>
        <v>1</v>
      </c>
      <c r="BD66" s="39"/>
      <c r="BE66" s="39">
        <v>1</v>
      </c>
      <c r="BF66" s="39">
        <f t="shared" ca="1" si="25"/>
        <v>-1</v>
      </c>
      <c r="BG66" s="39">
        <f t="shared" ca="1" si="26"/>
        <v>1</v>
      </c>
      <c r="BH66" s="272"/>
      <c r="BJ66" s="1" t="s">
        <v>3656</v>
      </c>
      <c r="BK66" s="1">
        <f>BK65*BK62</f>
        <v>365.25635760720166</v>
      </c>
      <c r="BZ66" s="1" t="s">
        <v>3657</v>
      </c>
      <c r="CA66" s="1">
        <f ca="1">IF(CA65&gt;10,0,CA65)</f>
        <v>0</v>
      </c>
    </row>
    <row r="67" spans="1:79">
      <c r="A67" s="61"/>
      <c r="B67" s="61"/>
      <c r="C67" s="61"/>
      <c r="D67" s="61"/>
      <c r="E67" s="147"/>
      <c r="F67" s="496"/>
      <c r="G67" s="42" t="s">
        <v>3404</v>
      </c>
      <c r="H67" s="156"/>
      <c r="I67" s="42" t="s">
        <v>10</v>
      </c>
      <c r="J67" s="42" t="s">
        <v>2731</v>
      </c>
      <c r="K67" s="69"/>
      <c r="L67" s="156" t="s">
        <v>3658</v>
      </c>
      <c r="M67" s="497"/>
      <c r="N67" s="156"/>
      <c r="O67" s="61"/>
      <c r="P67" s="61"/>
      <c r="Q67" s="61"/>
      <c r="R67" s="61"/>
      <c r="V67" s="86"/>
      <c r="Y67" s="39"/>
      <c r="Z67" s="39"/>
      <c r="AE67" s="1" t="s">
        <v>3659</v>
      </c>
      <c r="AR67" s="1" t="s">
        <v>3587</v>
      </c>
      <c r="AS67" s="82">
        <f ca="1">IF(AS65=2,AS66,AS64)</f>
        <v>23.521447644755501</v>
      </c>
      <c r="AV67" s="272"/>
      <c r="AW67" s="39"/>
      <c r="AX67" s="39" t="s">
        <v>3660</v>
      </c>
      <c r="AY67" s="39">
        <f ca="1">IF(AW64&gt;30,1,0)</f>
        <v>0</v>
      </c>
      <c r="AZ67" s="39"/>
      <c r="BA67" s="39"/>
      <c r="BB67" s="39"/>
      <c r="BC67" s="279">
        <f ca="1">SUM(BC58:BC66)</f>
        <v>3</v>
      </c>
      <c r="BD67" s="39"/>
      <c r="BE67" s="39"/>
      <c r="BF67" s="39"/>
      <c r="BG67" s="279">
        <f ca="1">SUM(BG58:BG66)</f>
        <v>1</v>
      </c>
      <c r="BH67" s="272"/>
      <c r="BJ67" s="1" t="s">
        <v>3661</v>
      </c>
      <c r="BK67" s="83">
        <v>365.25635760720166</v>
      </c>
      <c r="BZ67" s="1" t="s">
        <v>3662</v>
      </c>
      <c r="CA67" s="82" t="str">
        <f ca="1">IF(CA66&gt;0,BZ67,"")</f>
        <v/>
      </c>
    </row>
    <row r="68" spans="1:79">
      <c r="A68" s="61"/>
      <c r="B68" s="61"/>
      <c r="C68" s="61"/>
      <c r="D68" s="61"/>
      <c r="E68" s="147"/>
      <c r="F68" s="496"/>
      <c r="G68" s="549">
        <f ca="1">V7</f>
        <v>17</v>
      </c>
      <c r="H68" s="560"/>
      <c r="I68" s="549">
        <f ca="1">V8</f>
        <v>59</v>
      </c>
      <c r="J68" s="549">
        <f ca="1">V9</f>
        <v>20</v>
      </c>
      <c r="K68" s="562" t="str">
        <f>V60</f>
        <v>Ώρα Ελλάδος</v>
      </c>
      <c r="L68" s="150"/>
      <c r="M68" s="495"/>
      <c r="N68" s="156"/>
      <c r="O68" s="61"/>
      <c r="P68" s="61"/>
      <c r="Q68" s="61"/>
      <c r="R68" s="61"/>
      <c r="U68" s="1" t="s">
        <v>3642</v>
      </c>
      <c r="V68" s="362">
        <f>V12</f>
        <v>0</v>
      </c>
      <c r="Y68" s="39"/>
      <c r="Z68" s="39"/>
      <c r="AE68" s="1" t="s">
        <v>3663</v>
      </c>
      <c r="AR68" s="1" t="s">
        <v>3590</v>
      </c>
      <c r="AS68" s="1">
        <f ca="1">(4/1440)*AS64</f>
        <v>-1.3293120979013869E-3</v>
      </c>
      <c r="AV68" s="272"/>
      <c r="AW68" s="39"/>
      <c r="AX68" s="39" t="s">
        <v>3664</v>
      </c>
      <c r="AY68" s="274">
        <f ca="1">AY67+AW63</f>
        <v>31</v>
      </c>
      <c r="AZ68" s="39"/>
      <c r="BC68" s="82">
        <f ca="1">BC67+BC55</f>
        <v>23</v>
      </c>
      <c r="BH68" s="272"/>
      <c r="BJ68" s="1" t="s">
        <v>3665</v>
      </c>
      <c r="BK68" s="1">
        <f>BK67+1</f>
        <v>366.25635760720166</v>
      </c>
      <c r="CA68" s="82" t="str">
        <f ca="1">IF(CA66=0,"",CA66)</f>
        <v/>
      </c>
    </row>
    <row r="69" spans="1:79">
      <c r="A69" s="61"/>
      <c r="B69" s="61"/>
      <c r="C69" s="61"/>
      <c r="D69" s="61"/>
      <c r="E69" s="147"/>
      <c r="F69" s="498"/>
      <c r="G69" s="70" t="s">
        <v>3666</v>
      </c>
      <c r="H69" s="61"/>
      <c r="I69" s="191" t="s">
        <v>3498</v>
      </c>
      <c r="J69" s="547"/>
      <c r="K69" s="278">
        <v>0</v>
      </c>
      <c r="L69" s="156" t="str">
        <f>V54</f>
        <v/>
      </c>
      <c r="M69" s="497"/>
      <c r="N69" s="156"/>
      <c r="O69" s="61"/>
      <c r="P69" s="61"/>
      <c r="Q69" s="61"/>
      <c r="R69" s="61"/>
      <c r="U69" s="1" t="s">
        <v>3739</v>
      </c>
      <c r="V69" s="256">
        <f ca="1">V17+V31+V56</f>
        <v>0</v>
      </c>
      <c r="Y69" s="39"/>
      <c r="Z69" s="39"/>
      <c r="AE69" s="1" t="s">
        <v>3667</v>
      </c>
      <c r="AR69" s="1" t="s">
        <v>3593</v>
      </c>
      <c r="AS69" s="275">
        <f ca="1">AS67+AS68</f>
        <v>23.520118332657599</v>
      </c>
      <c r="AV69" s="272"/>
      <c r="AW69" s="39"/>
      <c r="AX69" s="39" t="s">
        <v>3668</v>
      </c>
      <c r="AY69" s="80">
        <f ca="1">IF(AY68&lt;60,0,1)</f>
        <v>0</v>
      </c>
      <c r="AZ69" s="39"/>
      <c r="BA69" s="39"/>
      <c r="BB69" s="39"/>
      <c r="BC69" s="274">
        <f ca="1">BB57-BC67</f>
        <v>0.52011833265759932</v>
      </c>
      <c r="BD69" s="281">
        <f ca="1">BC69*60</f>
        <v>31.207099959455959</v>
      </c>
      <c r="BE69" s="39"/>
      <c r="BF69" s="39"/>
      <c r="BG69" s="280">
        <f ca="1">BF57-BG67</f>
        <v>0.20709995945595949</v>
      </c>
      <c r="BH69" s="272"/>
      <c r="BJ69" s="1" t="s">
        <v>3574</v>
      </c>
      <c r="BK69" s="83">
        <v>366.25635760720166</v>
      </c>
      <c r="BZ69" s="1" t="s">
        <v>3669</v>
      </c>
      <c r="CA69" s="82" t="str">
        <f ca="1">IF(CA66&gt;0,BZ69,"")</f>
        <v/>
      </c>
    </row>
    <row r="70" spans="1:79">
      <c r="A70" s="61"/>
      <c r="B70" s="61"/>
      <c r="C70" s="61"/>
      <c r="D70" s="61"/>
      <c r="E70" s="147"/>
      <c r="F70" s="498" t="s">
        <v>3502</v>
      </c>
      <c r="G70" s="61"/>
      <c r="H70" s="61"/>
      <c r="I70" s="69"/>
      <c r="J70" s="499" t="s">
        <v>3503</v>
      </c>
      <c r="K70" s="39">
        <v>23.945799999999998</v>
      </c>
      <c r="L70" s="156" t="str">
        <f t="shared" ref="L70" si="27">L22</f>
        <v/>
      </c>
      <c r="M70" s="497"/>
      <c r="N70" s="156"/>
      <c r="O70" s="61"/>
      <c r="P70" s="61"/>
      <c r="Q70" s="61"/>
      <c r="R70" s="61"/>
      <c r="U70" s="1" t="s">
        <v>3737</v>
      </c>
      <c r="V70" s="524">
        <f ca="1">V69+V68</f>
        <v>0</v>
      </c>
      <c r="AE70" s="1" t="s">
        <v>3670</v>
      </c>
      <c r="AV70" s="272"/>
      <c r="AW70" s="39"/>
      <c r="AX70" s="39" t="s">
        <v>3671</v>
      </c>
      <c r="AY70" s="3">
        <f ca="1">IF(AY68&lt;60,AY68,0)</f>
        <v>31</v>
      </c>
      <c r="AZ70" s="39"/>
      <c r="BA70" s="39" t="s">
        <v>2775</v>
      </c>
      <c r="BB70" s="39"/>
      <c r="BC70" s="39"/>
      <c r="BD70" s="39"/>
      <c r="BE70" s="39" t="s">
        <v>2776</v>
      </c>
      <c r="BF70" s="39"/>
      <c r="BG70" s="39">
        <f ca="1">BF45-BG69</f>
        <v>31</v>
      </c>
      <c r="BH70" s="272"/>
      <c r="BJ70" s="1"/>
      <c r="BK70" s="1"/>
      <c r="BZ70" s="1" t="s">
        <v>3672</v>
      </c>
      <c r="CA70" s="82" t="str">
        <f ca="1">IF(CA66&gt;0,BZ70,"")</f>
        <v/>
      </c>
    </row>
    <row r="71" spans="1:79">
      <c r="A71" s="61"/>
      <c r="B71" s="61"/>
      <c r="C71" s="61"/>
      <c r="D71" s="61"/>
      <c r="E71" s="147"/>
      <c r="F71" s="498"/>
      <c r="G71" s="61" t="s">
        <v>3440</v>
      </c>
      <c r="H71" s="147"/>
      <c r="I71" s="549">
        <f ca="1">I23</f>
        <v>18</v>
      </c>
      <c r="J71" s="499"/>
      <c r="K71" s="39" t="s">
        <v>3419</v>
      </c>
      <c r="L71" s="156" t="s">
        <v>3742</v>
      </c>
      <c r="M71" s="497"/>
      <c r="N71" s="156"/>
      <c r="O71" s="61"/>
      <c r="P71" s="61"/>
      <c r="Q71" s="61"/>
      <c r="R71" s="61"/>
      <c r="U71" s="1" t="s">
        <v>3747</v>
      </c>
      <c r="V71" s="88" t="str">
        <f ca="1">IF(V69=0,"",U71)</f>
        <v/>
      </c>
      <c r="AE71" s="1" t="s">
        <v>3673</v>
      </c>
      <c r="AR71" s="63" t="s">
        <v>3674</v>
      </c>
      <c r="AV71" s="272"/>
      <c r="AW71" s="39"/>
      <c r="AX71" s="39" t="s">
        <v>3675</v>
      </c>
      <c r="AY71" s="39">
        <f ca="1">AW62+AY69</f>
        <v>23</v>
      </c>
      <c r="AZ71" s="39"/>
      <c r="BA71" s="39"/>
      <c r="BB71" s="39"/>
      <c r="BC71" s="39"/>
      <c r="BD71" s="39"/>
      <c r="BE71" s="39" t="s">
        <v>2764</v>
      </c>
      <c r="BF71" s="39"/>
      <c r="BG71" s="39">
        <f ca="1">BG69*60</f>
        <v>12.42599756735757</v>
      </c>
      <c r="BH71" s="272"/>
      <c r="BJ71" s="1" t="s">
        <v>3576</v>
      </c>
      <c r="BK71" s="83">
        <f>24/BK69</f>
        <v>6.5527872763206041E-2</v>
      </c>
    </row>
    <row r="72" spans="1:79">
      <c r="A72" s="61"/>
      <c r="B72" s="61"/>
      <c r="C72" s="61"/>
      <c r="D72" s="61"/>
      <c r="E72" s="147"/>
      <c r="F72" s="498"/>
      <c r="G72" s="61" t="s">
        <v>3443</v>
      </c>
      <c r="H72" s="147"/>
      <c r="I72" s="549">
        <f ca="1">I24</f>
        <v>28</v>
      </c>
      <c r="J72" s="499"/>
      <c r="K72" s="42" t="s">
        <v>2763</v>
      </c>
      <c r="L72" s="61" t="s">
        <v>3744</v>
      </c>
      <c r="M72" s="497"/>
      <c r="N72" s="156"/>
      <c r="O72" s="61"/>
      <c r="P72" s="61"/>
      <c r="Q72" s="61"/>
      <c r="R72" s="61"/>
      <c r="U72" s="1" t="s">
        <v>3746</v>
      </c>
      <c r="V72" s="88" t="str">
        <f ca="1">IF(V69=0,"",U72)</f>
        <v/>
      </c>
      <c r="AE72" s="1" t="s">
        <v>3676</v>
      </c>
      <c r="AR72" s="1" t="s">
        <v>3677</v>
      </c>
      <c r="AS72" s="256">
        <f ca="1">V69</f>
        <v>0</v>
      </c>
      <c r="AV72" s="272"/>
      <c r="AW72" s="39"/>
      <c r="AX72" s="39" t="s">
        <v>3678</v>
      </c>
      <c r="AY72" s="3">
        <f ca="1">IF(AY71&gt;24,0,AY71)</f>
        <v>23</v>
      </c>
      <c r="AZ72" s="39"/>
      <c r="BA72" s="39"/>
      <c r="BB72" s="39"/>
      <c r="BC72" s="39"/>
      <c r="BD72" s="39"/>
      <c r="BE72" s="39" t="s">
        <v>2777</v>
      </c>
      <c r="BF72" s="39"/>
      <c r="BG72" s="39">
        <f ca="1">BG70+1</f>
        <v>32</v>
      </c>
      <c r="BH72" s="272"/>
      <c r="BJ72" s="1"/>
      <c r="BK72" s="1"/>
      <c r="BZ72" s="86" t="s">
        <v>3679</v>
      </c>
      <c r="CA72" s="86"/>
    </row>
    <row r="73" spans="1:79">
      <c r="A73" s="61"/>
      <c r="B73" s="61"/>
      <c r="C73" s="61"/>
      <c r="D73" s="61"/>
      <c r="E73" s="147"/>
      <c r="F73" s="498"/>
      <c r="G73" s="61" t="s">
        <v>2731</v>
      </c>
      <c r="H73" s="147"/>
      <c r="I73" s="563">
        <f ca="1">I25</f>
        <v>2.7884788801910076</v>
      </c>
      <c r="J73" s="499"/>
      <c r="K73" s="501"/>
      <c r="L73" s="145" t="s">
        <v>3514</v>
      </c>
      <c r="M73" s="502"/>
      <c r="N73" s="156"/>
      <c r="O73" s="61"/>
      <c r="P73" s="61"/>
      <c r="Q73" s="61"/>
      <c r="R73" s="61"/>
      <c r="AE73" s="1" t="s">
        <v>3680</v>
      </c>
      <c r="AR73" s="63" t="s">
        <v>3681</v>
      </c>
      <c r="AV73" s="272"/>
      <c r="AW73" s="39"/>
      <c r="AX73" s="39"/>
      <c r="AY73" s="39"/>
      <c r="AZ73" s="39"/>
      <c r="BA73" s="39"/>
      <c r="BB73" s="39"/>
      <c r="BC73" s="39"/>
      <c r="BD73" s="39"/>
      <c r="BE73" s="39" t="s">
        <v>2776</v>
      </c>
      <c r="BF73" s="39"/>
      <c r="BG73" s="39">
        <f ca="1">IF(BG71&gt;59.999999,BG72,BG70)</f>
        <v>31</v>
      </c>
      <c r="BH73" s="272"/>
      <c r="CA73" s="88" t="str">
        <f ca="1">IF(CA85=0,CA67,"")</f>
        <v/>
      </c>
    </row>
    <row r="74" spans="1:79">
      <c r="A74" s="61"/>
      <c r="B74" s="61"/>
      <c r="C74" s="61"/>
      <c r="D74" s="61"/>
      <c r="E74" s="147"/>
      <c r="F74" s="498"/>
      <c r="G74" s="61" t="s">
        <v>3517</v>
      </c>
      <c r="H74" s="61"/>
      <c r="I74" s="70"/>
      <c r="J74" s="147"/>
      <c r="K74" s="503"/>
      <c r="L74" s="504" t="s">
        <v>3518</v>
      </c>
      <c r="M74" s="505" t="s">
        <v>3519</v>
      </c>
      <c r="N74" s="156"/>
      <c r="O74" s="61"/>
      <c r="P74" s="61"/>
      <c r="Q74" s="61"/>
      <c r="R74" s="61"/>
      <c r="U74" s="63" t="s">
        <v>3888</v>
      </c>
      <c r="V74" s="594">
        <f>V50</f>
        <v>0</v>
      </c>
      <c r="AE74" s="1" t="s">
        <v>3682</v>
      </c>
      <c r="AR74" s="1" t="s">
        <v>3404</v>
      </c>
      <c r="AS74" s="91">
        <f ca="1">IF(AS72=0,AW22,"")</f>
        <v>18</v>
      </c>
      <c r="AV74" s="272"/>
      <c r="AW74" s="39"/>
      <c r="AX74" s="39"/>
      <c r="AY74" s="39"/>
      <c r="AZ74" s="39"/>
      <c r="BA74" s="39"/>
      <c r="BB74" s="39"/>
      <c r="BC74" s="39"/>
      <c r="BD74" s="39"/>
      <c r="BE74" s="39" t="s">
        <v>2764</v>
      </c>
      <c r="BF74" s="39"/>
      <c r="BG74" s="39"/>
      <c r="BH74" s="272"/>
      <c r="CA74" s="88" t="str">
        <f ca="1">IF(CA85=0,CA68,"")</f>
        <v/>
      </c>
    </row>
    <row r="75" spans="1:79">
      <c r="A75" s="61"/>
      <c r="B75" s="61"/>
      <c r="C75" s="61"/>
      <c r="D75" s="61"/>
      <c r="E75" s="147"/>
      <c r="F75" s="498"/>
      <c r="G75" s="61" t="s">
        <v>3524</v>
      </c>
      <c r="H75" s="61"/>
      <c r="I75" s="61"/>
      <c r="J75" s="147"/>
      <c r="K75" s="503"/>
      <c r="L75" s="506" t="s">
        <v>3525</v>
      </c>
      <c r="M75" s="506">
        <v>22.198399999999999</v>
      </c>
      <c r="N75" s="156"/>
      <c r="O75" s="61"/>
      <c r="P75" s="61"/>
      <c r="Q75" s="61"/>
      <c r="R75" s="61"/>
      <c r="U75" s="1" t="s">
        <v>2762</v>
      </c>
      <c r="V75" s="595">
        <f ca="1">V3</f>
        <v>2020</v>
      </c>
      <c r="AE75" s="1" t="s">
        <v>3683</v>
      </c>
      <c r="AR75" s="1" t="s">
        <v>2730</v>
      </c>
      <c r="AS75" s="91">
        <f ca="1">IF(AS72=0,AW23,"")</f>
        <v>28</v>
      </c>
      <c r="AV75" s="272"/>
      <c r="AW75" s="39"/>
      <c r="AX75" s="39"/>
      <c r="AY75" s="39"/>
      <c r="AZ75" s="39"/>
      <c r="BA75" s="39"/>
      <c r="BB75" s="39" t="s">
        <v>2778</v>
      </c>
      <c r="BC75" s="39"/>
      <c r="BD75" s="39"/>
      <c r="BE75" s="39"/>
      <c r="BF75" s="39"/>
      <c r="BG75" s="39">
        <f ca="1">IF(BG71&lt;0.000001,0,BG71)</f>
        <v>12.42599756735757</v>
      </c>
      <c r="BH75" s="272"/>
      <c r="CA75" s="88" t="str">
        <f ca="1">IF(CA85=0,CA69,"")</f>
        <v/>
      </c>
    </row>
    <row r="76" spans="1:79">
      <c r="A76" s="61"/>
      <c r="B76" s="61"/>
      <c r="C76" s="61"/>
      <c r="D76" s="61"/>
      <c r="E76" s="147"/>
      <c r="F76" s="498"/>
      <c r="G76" s="145" t="s">
        <v>2810</v>
      </c>
      <c r="H76" s="188"/>
      <c r="I76" s="145" t="s">
        <v>9</v>
      </c>
      <c r="J76" s="147"/>
      <c r="K76" s="503"/>
      <c r="L76" s="506" t="s">
        <v>3530</v>
      </c>
      <c r="M76" s="506">
        <v>23.907699999999998</v>
      </c>
      <c r="N76" s="156"/>
      <c r="O76" s="61"/>
      <c r="P76" s="61"/>
      <c r="Q76" s="61"/>
      <c r="R76" s="61"/>
      <c r="U76" s="1" t="s">
        <v>3403</v>
      </c>
      <c r="V76" s="596">
        <f ca="1">V5</f>
        <v>2</v>
      </c>
      <c r="AE76" s="1" t="s">
        <v>3684</v>
      </c>
      <c r="AR76" s="1" t="s">
        <v>2731</v>
      </c>
      <c r="AS76" s="91">
        <f ca="1">IF(AS72=0,AW24,"")</f>
        <v>2.7884788801910076</v>
      </c>
      <c r="AV76" s="272"/>
      <c r="AW76" s="39"/>
      <c r="AX76" s="39"/>
      <c r="AY76" s="39"/>
      <c r="AZ76" s="39"/>
      <c r="BA76" s="39"/>
      <c r="BB76" s="39" t="s">
        <v>2779</v>
      </c>
      <c r="BC76" s="39"/>
      <c r="BD76" s="39"/>
      <c r="BE76" s="39"/>
      <c r="BF76" s="39"/>
      <c r="BG76" s="39">
        <f ca="1">IF(BG75&gt;59.999999,0,BG75)</f>
        <v>12.42599756735757</v>
      </c>
      <c r="BH76" s="272"/>
      <c r="CA76" s="88" t="str">
        <f ca="1">IF(CA85=0,CA70," ")</f>
        <v/>
      </c>
    </row>
    <row r="77" spans="1:79">
      <c r="A77" s="61"/>
      <c r="B77" s="61"/>
      <c r="C77" s="61"/>
      <c r="D77" s="61"/>
      <c r="E77" s="147"/>
      <c r="F77" s="507"/>
      <c r="G77" s="548">
        <f ca="1">G29</f>
        <v>31</v>
      </c>
      <c r="H77" s="546"/>
      <c r="I77" s="548">
        <f ca="1">I29</f>
        <v>23</v>
      </c>
      <c r="J77" s="499"/>
      <c r="K77" s="503"/>
      <c r="L77" s="506" t="s">
        <v>3535</v>
      </c>
      <c r="M77" s="506">
        <v>23.945799999999998</v>
      </c>
      <c r="N77" s="156"/>
      <c r="O77" s="61"/>
      <c r="P77" s="61"/>
      <c r="Q77" s="61"/>
      <c r="R77" s="61"/>
      <c r="U77" s="1" t="s">
        <v>3417</v>
      </c>
      <c r="V77" s="596">
        <f ca="1">V6</f>
        <v>3</v>
      </c>
      <c r="AE77" s="1" t="s">
        <v>3685</v>
      </c>
      <c r="AV77" s="272"/>
      <c r="AW77" s="39"/>
      <c r="AX77" s="39"/>
      <c r="AY77" s="39"/>
      <c r="AZ77" s="39"/>
      <c r="BA77" s="39"/>
      <c r="BB77" s="39"/>
      <c r="BC77" s="39"/>
      <c r="BD77" s="39"/>
      <c r="BE77" s="39" t="s">
        <v>2780</v>
      </c>
      <c r="BF77" s="39"/>
      <c r="BG77" s="274">
        <f ca="1">BC68</f>
        <v>23</v>
      </c>
      <c r="BH77" s="272"/>
    </row>
    <row r="78" spans="1:79">
      <c r="A78" s="61"/>
      <c r="B78" s="61"/>
      <c r="C78" s="61"/>
      <c r="D78" s="61"/>
      <c r="E78" s="147"/>
      <c r="F78" s="498"/>
      <c r="G78" s="70" t="s">
        <v>3540</v>
      </c>
      <c r="H78" s="61"/>
      <c r="I78" s="70"/>
      <c r="J78" s="61"/>
      <c r="K78" s="191"/>
      <c r="L78" s="506" t="s">
        <v>3541</v>
      </c>
      <c r="M78" s="506">
        <v>23.284700000000001</v>
      </c>
      <c r="N78" s="156"/>
      <c r="O78" s="61"/>
      <c r="P78" s="61"/>
      <c r="Q78" s="61"/>
      <c r="R78" s="61"/>
      <c r="U78" s="1" t="s">
        <v>3404</v>
      </c>
      <c r="V78" s="596">
        <f ca="1">V7</f>
        <v>17</v>
      </c>
      <c r="AE78" s="1" t="s">
        <v>3686</v>
      </c>
      <c r="AR78" s="63" t="s">
        <v>3687</v>
      </c>
      <c r="AS78" s="61">
        <v>100</v>
      </c>
      <c r="AV78" s="272"/>
      <c r="AW78" s="39"/>
      <c r="AX78" s="39"/>
      <c r="AY78" s="39"/>
      <c r="AZ78" s="39"/>
      <c r="BA78" s="39"/>
      <c r="BB78" s="39"/>
      <c r="BC78" s="39"/>
      <c r="BD78" s="39"/>
      <c r="BE78" s="39" t="s">
        <v>10</v>
      </c>
      <c r="BF78" s="39"/>
      <c r="BG78" s="274">
        <f ca="1">BG73</f>
        <v>31</v>
      </c>
      <c r="BH78" s="272"/>
      <c r="BZ78" s="490" t="s">
        <v>3688</v>
      </c>
      <c r="CA78" s="79"/>
    </row>
    <row r="79" spans="1:79">
      <c r="A79" s="61"/>
      <c r="B79" s="61"/>
      <c r="C79" s="61"/>
      <c r="D79" s="61"/>
      <c r="E79" s="147"/>
      <c r="F79" s="541"/>
      <c r="G79" s="536"/>
      <c r="H79" s="536"/>
      <c r="I79" s="536"/>
      <c r="J79" s="536"/>
      <c r="K79" s="538"/>
      <c r="L79" s="506" t="s">
        <v>3548</v>
      </c>
      <c r="M79" s="506">
        <v>23.153600000000001</v>
      </c>
      <c r="N79" s="156"/>
      <c r="O79" s="61"/>
      <c r="P79" s="61"/>
      <c r="Q79" s="61"/>
      <c r="R79" s="61"/>
      <c r="U79" s="1" t="s">
        <v>10</v>
      </c>
      <c r="V79" s="597">
        <f ca="1">V8</f>
        <v>59</v>
      </c>
      <c r="AE79" s="1" t="s">
        <v>3689</v>
      </c>
      <c r="AR79" s="1" t="s">
        <v>3690</v>
      </c>
      <c r="AS79" s="508">
        <f>IF(AS78&lt;1,1,0)</f>
        <v>0</v>
      </c>
      <c r="AV79" s="272"/>
      <c r="AW79" s="39"/>
      <c r="AX79" s="39"/>
      <c r="AY79" s="39"/>
      <c r="AZ79" s="39"/>
      <c r="BA79" s="39"/>
      <c r="BB79" s="39"/>
      <c r="BC79" s="39"/>
      <c r="BD79" s="39"/>
      <c r="BE79" s="39" t="s">
        <v>2731</v>
      </c>
      <c r="BF79" s="39"/>
      <c r="BG79" s="274">
        <f ca="1">BG76</f>
        <v>12.42599756735757</v>
      </c>
      <c r="BH79" s="272"/>
      <c r="BZ79" s="86" t="s">
        <v>9</v>
      </c>
      <c r="CA79" s="60">
        <f ca="1">CD26</f>
        <v>7</v>
      </c>
    </row>
    <row r="80" spans="1:79">
      <c r="A80" s="61"/>
      <c r="B80" s="61"/>
      <c r="C80" s="61"/>
      <c r="D80" s="61"/>
      <c r="E80" s="147"/>
      <c r="F80" s="541"/>
      <c r="G80" s="542" t="s">
        <v>3867</v>
      </c>
      <c r="H80" s="536"/>
      <c r="I80" s="536"/>
      <c r="J80" s="536"/>
      <c r="K80" s="538"/>
      <c r="L80" s="506" t="s">
        <v>3552</v>
      </c>
      <c r="M80" s="506">
        <v>24.7179</v>
      </c>
      <c r="N80" s="156"/>
      <c r="O80" s="61"/>
      <c r="P80" s="61"/>
      <c r="Q80" s="61"/>
      <c r="R80" s="61"/>
      <c r="U80" s="1" t="s">
        <v>2731</v>
      </c>
      <c r="V80" s="597">
        <f ca="1">V9</f>
        <v>20</v>
      </c>
      <c r="AE80" s="1" t="s">
        <v>3691</v>
      </c>
      <c r="AS80" s="256">
        <f ca="1">AS72+AS79</f>
        <v>0</v>
      </c>
      <c r="AV80" s="272"/>
      <c r="AW80" s="39"/>
      <c r="AX80" s="39"/>
      <c r="AY80" s="39"/>
      <c r="AZ80" s="39"/>
      <c r="BA80" s="39"/>
      <c r="BB80" s="39"/>
      <c r="BC80" s="39"/>
      <c r="BD80" s="39"/>
      <c r="BE80" s="39" t="s">
        <v>2781</v>
      </c>
      <c r="BF80" s="39"/>
      <c r="BG80" s="39"/>
      <c r="BH80" s="272"/>
      <c r="BZ80" s="1" t="s">
        <v>2730</v>
      </c>
      <c r="CA80" s="61">
        <f ca="1">CD27</f>
        <v>33</v>
      </c>
    </row>
    <row r="81" spans="1:79">
      <c r="A81" s="61"/>
      <c r="B81" s="61"/>
      <c r="C81" s="61"/>
      <c r="D81" s="61"/>
      <c r="E81" s="147"/>
      <c r="F81" s="541"/>
      <c r="G81" s="545" t="s">
        <v>9</v>
      </c>
      <c r="H81" s="545"/>
      <c r="I81" s="545" t="s">
        <v>2810</v>
      </c>
      <c r="J81" s="536"/>
      <c r="K81" s="538"/>
      <c r="L81" s="506" t="s">
        <v>3557</v>
      </c>
      <c r="M81" s="506">
        <v>21.66</v>
      </c>
      <c r="N81" s="156"/>
      <c r="O81" s="61"/>
      <c r="P81" s="61"/>
      <c r="Q81" s="61"/>
      <c r="R81" s="61"/>
      <c r="X81" s="1" t="s">
        <v>2665</v>
      </c>
      <c r="AE81" s="1" t="s">
        <v>3693</v>
      </c>
      <c r="AR81" s="1" t="s">
        <v>3404</v>
      </c>
      <c r="AS81" s="91">
        <f ca="1">IF(AS80=0,AY72,"")</f>
        <v>23</v>
      </c>
      <c r="AV81" s="272"/>
      <c r="AW81" s="39"/>
      <c r="AX81" s="39"/>
      <c r="AY81" s="39"/>
      <c r="AZ81" s="39"/>
      <c r="BA81" s="39"/>
      <c r="BB81" s="39"/>
      <c r="BC81" s="39"/>
      <c r="BD81" s="39"/>
      <c r="BE81" s="39"/>
      <c r="BF81" s="39"/>
      <c r="BG81" s="282">
        <f ca="1">BG77*-1</f>
        <v>-23</v>
      </c>
      <c r="BH81" s="272"/>
      <c r="BZ81" s="1" t="s">
        <v>2731</v>
      </c>
      <c r="CA81" s="61">
        <f ca="1">CD28</f>
        <v>37.031971036351479</v>
      </c>
    </row>
    <row r="82" spans="1:79">
      <c r="A82" s="61"/>
      <c r="B82" s="61"/>
      <c r="C82" s="61"/>
      <c r="D82" s="61"/>
      <c r="E82" s="147"/>
      <c r="F82" s="543"/>
      <c r="G82" s="565">
        <f ca="1">G34</f>
        <v>6</v>
      </c>
      <c r="H82" s="564"/>
      <c r="I82" s="565">
        <f ca="1">I34</f>
        <v>14</v>
      </c>
      <c r="J82" s="544"/>
      <c r="K82" s="538"/>
      <c r="L82" s="506"/>
      <c r="M82" s="506"/>
      <c r="N82" s="156"/>
      <c r="O82" s="61"/>
      <c r="P82" s="61"/>
      <c r="Q82" s="61"/>
      <c r="R82" s="61"/>
      <c r="W82" s="1" t="s">
        <v>3403</v>
      </c>
      <c r="X82" s="61">
        <f ca="1">V91</f>
        <v>1</v>
      </c>
      <c r="AR82" s="1" t="s">
        <v>2810</v>
      </c>
      <c r="AS82" s="91">
        <f ca="1">IF(AS80=0,AY70,"")</f>
        <v>31</v>
      </c>
      <c r="AV82" s="272"/>
      <c r="AW82" s="39"/>
      <c r="AX82" s="39"/>
      <c r="AY82" s="39"/>
      <c r="AZ82" s="39"/>
      <c r="BA82" s="39"/>
      <c r="BB82" s="39"/>
      <c r="BC82" s="39"/>
      <c r="BD82" s="39"/>
      <c r="BE82" s="39"/>
      <c r="BF82" s="39"/>
      <c r="BG82" s="282">
        <f ca="1">BG78*-1</f>
        <v>-31</v>
      </c>
      <c r="BH82" s="272"/>
    </row>
    <row r="83" spans="1:79">
      <c r="A83" s="61"/>
      <c r="B83" s="61"/>
      <c r="C83" s="61"/>
      <c r="D83" s="61"/>
      <c r="E83" s="147"/>
      <c r="F83" s="541"/>
      <c r="G83" s="539"/>
      <c r="H83" s="539"/>
      <c r="I83" s="539"/>
      <c r="J83" s="536"/>
      <c r="K83" s="538"/>
      <c r="L83" s="506"/>
      <c r="M83" s="506"/>
      <c r="N83" s="156"/>
      <c r="O83" s="61"/>
      <c r="P83" s="61"/>
      <c r="Q83" s="61"/>
      <c r="R83" s="61"/>
      <c r="U83" s="1" t="s">
        <v>3889</v>
      </c>
      <c r="V83" s="1">
        <v>31</v>
      </c>
      <c r="W83" s="1">
        <v>3</v>
      </c>
      <c r="AV83" s="270"/>
      <c r="AW83" s="39"/>
      <c r="AX83" s="39"/>
      <c r="AY83" s="39"/>
      <c r="AZ83" s="39"/>
      <c r="BA83" s="39"/>
      <c r="BB83" s="39"/>
      <c r="BC83" s="39"/>
      <c r="BD83" s="39"/>
      <c r="BE83" s="39"/>
      <c r="BF83" s="39"/>
      <c r="BG83" s="282">
        <f ca="1">BG79*-1</f>
        <v>-12.42599756735757</v>
      </c>
      <c r="BH83" s="270"/>
    </row>
    <row r="84" spans="1:79">
      <c r="A84" s="61"/>
      <c r="B84" s="61"/>
      <c r="C84" s="61"/>
      <c r="D84" s="61"/>
      <c r="E84" s="147"/>
      <c r="F84" s="541"/>
      <c r="G84" s="536"/>
      <c r="H84" s="536"/>
      <c r="I84" s="536"/>
      <c r="J84" s="536"/>
      <c r="K84" s="538"/>
      <c r="L84" s="506"/>
      <c r="M84" s="506"/>
      <c r="N84" s="156"/>
      <c r="O84" s="61"/>
      <c r="P84" s="61"/>
      <c r="Q84" s="61"/>
      <c r="R84" s="61"/>
      <c r="U84" s="1" t="s">
        <v>3890</v>
      </c>
      <c r="V84" s="1">
        <v>30</v>
      </c>
      <c r="W84" s="1">
        <v>4</v>
      </c>
      <c r="AV84" s="488" t="s">
        <v>3588</v>
      </c>
      <c r="AW84" s="272"/>
      <c r="AX84" s="272"/>
      <c r="AY84" s="272"/>
      <c r="AZ84" s="272"/>
      <c r="BA84" s="272"/>
      <c r="BB84" s="272"/>
      <c r="BC84" s="272"/>
      <c r="BD84" s="272"/>
      <c r="BE84" s="272"/>
      <c r="BF84" s="272"/>
      <c r="BG84" s="272"/>
      <c r="BH84" s="273"/>
      <c r="CA84" s="85">
        <f>IF(CA20=0,1,0)</f>
        <v>0</v>
      </c>
    </row>
    <row r="85" spans="1:79">
      <c r="A85" s="61"/>
      <c r="B85" s="61"/>
      <c r="C85" s="61"/>
      <c r="D85" s="61"/>
      <c r="E85" s="147"/>
      <c r="F85" s="541"/>
      <c r="G85" s="536"/>
      <c r="H85" s="536"/>
      <c r="I85" s="536"/>
      <c r="J85" s="536"/>
      <c r="K85" s="538"/>
      <c r="L85" s="506"/>
      <c r="M85" s="506"/>
      <c r="N85" s="156"/>
      <c r="O85" s="61"/>
      <c r="P85" s="61"/>
      <c r="Q85" s="61"/>
      <c r="R85" s="61"/>
      <c r="U85" s="1" t="s">
        <v>3891</v>
      </c>
      <c r="V85" s="1">
        <v>31</v>
      </c>
      <c r="W85" s="1">
        <v>5</v>
      </c>
      <c r="AS85" s="86"/>
      <c r="AV85" s="272"/>
      <c r="AW85" s="39"/>
      <c r="AX85" s="39" t="s">
        <v>2679</v>
      </c>
      <c r="AY85" s="39" t="b">
        <f ca="1">ISNUMBER(AW92)</f>
        <v>1</v>
      </c>
      <c r="AZ85" s="39"/>
      <c r="BA85" s="39" t="s">
        <v>2665</v>
      </c>
      <c r="BB85" s="68">
        <f ca="1">AY90</f>
        <v>6.2399408336712003</v>
      </c>
      <c r="BC85" s="39"/>
      <c r="BD85" s="39"/>
      <c r="BE85" s="39" t="s">
        <v>2665</v>
      </c>
      <c r="BF85" s="68">
        <f ca="1">BD109</f>
        <v>14.39645002027202</v>
      </c>
      <c r="BG85" s="39"/>
      <c r="BH85" s="272"/>
      <c r="BZ85" s="513" t="s">
        <v>3688</v>
      </c>
      <c r="CA85" s="256">
        <f ca="1">V70+CA84</f>
        <v>0</v>
      </c>
    </row>
    <row r="86" spans="1:79">
      <c r="A86" s="61"/>
      <c r="B86" s="61"/>
      <c r="C86" s="61"/>
      <c r="D86" s="61"/>
      <c r="E86" s="147"/>
      <c r="F86" s="541"/>
      <c r="G86" s="536"/>
      <c r="H86" s="536"/>
      <c r="I86" s="536"/>
      <c r="J86" s="536"/>
      <c r="K86" s="538"/>
      <c r="L86" s="506"/>
      <c r="M86" s="506"/>
      <c r="N86" s="156"/>
      <c r="O86" s="61"/>
      <c r="P86" s="61"/>
      <c r="Q86" s="61"/>
      <c r="R86" s="61"/>
      <c r="U86" s="1" t="s">
        <v>3892</v>
      </c>
      <c r="V86" s="1">
        <v>30</v>
      </c>
      <c r="W86" s="1">
        <v>6</v>
      </c>
      <c r="AR86" s="63" t="s">
        <v>3871</v>
      </c>
      <c r="AV86" s="272"/>
      <c r="AW86" s="39"/>
      <c r="AX86" s="39" t="b">
        <v>0</v>
      </c>
      <c r="AY86" s="274">
        <f ca="1">IF(AY85=AX86,0,AW92)</f>
        <v>6.2399408336712003</v>
      </c>
      <c r="AZ86" s="39"/>
      <c r="BA86" s="39">
        <v>90</v>
      </c>
      <c r="BB86" s="39">
        <f ca="1">IF(BA86&gt;BB85,BB85,-1)</f>
        <v>6.2399408336712003</v>
      </c>
      <c r="BC86" s="39">
        <f ca="1">IF(BB86=-1,10,0)</f>
        <v>0</v>
      </c>
      <c r="BD86" s="39"/>
      <c r="BE86" s="39">
        <v>90</v>
      </c>
      <c r="BF86" s="39">
        <f ca="1">IF(BE86&gt;BF85,BF85,-1)</f>
        <v>14.39645002027202</v>
      </c>
      <c r="BG86" s="39">
        <f ca="1">IF(BF86=-1,10,0)</f>
        <v>0</v>
      </c>
      <c r="BH86" s="272"/>
      <c r="BZ86" s="82" t="s">
        <v>9</v>
      </c>
      <c r="CA86" s="93">
        <f ca="1">IF(CA85=0,CA79,"")</f>
        <v>7</v>
      </c>
    </row>
    <row r="87" spans="1:79">
      <c r="A87" s="61"/>
      <c r="B87" s="61"/>
      <c r="C87" s="61"/>
      <c r="D87" s="61"/>
      <c r="E87" s="147"/>
      <c r="F87" s="535"/>
      <c r="G87" s="539"/>
      <c r="H87" s="539"/>
      <c r="I87" s="539"/>
      <c r="J87" s="537"/>
      <c r="K87" s="540"/>
      <c r="L87" s="506"/>
      <c r="M87" s="506"/>
      <c r="N87" s="156"/>
      <c r="O87" s="61"/>
      <c r="P87" s="61"/>
      <c r="Q87" s="61"/>
      <c r="R87" s="61"/>
      <c r="U87" s="1" t="s">
        <v>3893</v>
      </c>
      <c r="V87" s="1">
        <v>31</v>
      </c>
      <c r="W87" s="1">
        <v>7</v>
      </c>
      <c r="AR87" s="1" t="s">
        <v>3872</v>
      </c>
      <c r="AS87" s="275">
        <f ca="1">AS69</f>
        <v>23.520118332657599</v>
      </c>
      <c r="AV87" s="272"/>
      <c r="AW87" s="39"/>
      <c r="AX87" s="39" t="s">
        <v>2768</v>
      </c>
      <c r="AY87" s="86">
        <f ca="1">AY86*-1</f>
        <v>-6.2399408336712003</v>
      </c>
      <c r="AZ87" s="39"/>
      <c r="BA87" s="39">
        <v>80</v>
      </c>
      <c r="BB87" s="39">
        <f t="shared" ref="BB87:BB94" ca="1" si="28">IF(BA87&gt;BB86,BB86,-1)</f>
        <v>6.2399408336712003</v>
      </c>
      <c r="BC87" s="39">
        <f t="shared" ref="BC87:BC94" ca="1" si="29">IF(BB87=-1,10,0)</f>
        <v>0</v>
      </c>
      <c r="BD87" s="39"/>
      <c r="BE87" s="39">
        <v>80</v>
      </c>
      <c r="BF87" s="39">
        <f t="shared" ref="BF87:BF94" ca="1" si="30">IF(BE87&gt;BF86,BF86,-1)</f>
        <v>14.39645002027202</v>
      </c>
      <c r="BG87" s="39">
        <f t="shared" ref="BG87:BG94" ca="1" si="31">IF(BF87=-1,10,0)</f>
        <v>0</v>
      </c>
      <c r="BH87" s="272"/>
      <c r="BZ87" s="82" t="s">
        <v>2730</v>
      </c>
      <c r="CA87" s="93">
        <f ca="1">IF(CA85=0,CA80,"")</f>
        <v>33</v>
      </c>
    </row>
    <row r="88" spans="1:79">
      <c r="A88" s="61"/>
      <c r="B88" s="61"/>
      <c r="C88" s="61"/>
      <c r="D88" s="61"/>
      <c r="E88" s="147"/>
      <c r="F88" s="498"/>
      <c r="G88" s="61"/>
      <c r="H88" s="61"/>
      <c r="I88" s="61"/>
      <c r="J88" s="61"/>
      <c r="K88" s="147"/>
      <c r="L88" s="506"/>
      <c r="M88" s="506"/>
      <c r="N88" s="156"/>
      <c r="O88" s="61"/>
      <c r="P88" s="61"/>
      <c r="Q88" s="61"/>
      <c r="R88" s="61"/>
      <c r="U88" s="1" t="s">
        <v>3894</v>
      </c>
      <c r="V88" s="1">
        <v>31</v>
      </c>
      <c r="W88" s="1">
        <v>8</v>
      </c>
      <c r="Y88" s="523"/>
      <c r="AR88" s="1" t="s">
        <v>3873</v>
      </c>
      <c r="AS88" s="1">
        <f ca="1">AS87-12</f>
        <v>11.520118332657599</v>
      </c>
      <c r="AV88" s="272"/>
      <c r="AW88" s="39"/>
      <c r="AX88" s="39" t="s">
        <v>2769</v>
      </c>
      <c r="AY88" s="80">
        <f ca="1">IF(AY87&lt;0,AY86,AY87)</f>
        <v>6.2399408336712003</v>
      </c>
      <c r="AZ88" s="39"/>
      <c r="BA88" s="39">
        <v>70</v>
      </c>
      <c r="BB88" s="39">
        <f t="shared" ca="1" si="28"/>
        <v>6.2399408336712003</v>
      </c>
      <c r="BC88" s="39">
        <f t="shared" ca="1" si="29"/>
        <v>0</v>
      </c>
      <c r="BD88" s="39"/>
      <c r="BE88" s="39">
        <v>70</v>
      </c>
      <c r="BF88" s="39">
        <f t="shared" ca="1" si="30"/>
        <v>14.39645002027202</v>
      </c>
      <c r="BG88" s="39">
        <f t="shared" ca="1" si="31"/>
        <v>0</v>
      </c>
      <c r="BH88" s="272"/>
      <c r="BZ88" s="82" t="s">
        <v>2731</v>
      </c>
      <c r="CA88" s="93">
        <f ca="1">IF(CA85=0,CA81,"")</f>
        <v>37.031971036351479</v>
      </c>
    </row>
    <row r="89" spans="1:79">
      <c r="A89" s="61"/>
      <c r="B89" s="61"/>
      <c r="C89" s="61"/>
      <c r="D89" s="61"/>
      <c r="E89" s="147"/>
      <c r="F89" s="498"/>
      <c r="G89" s="61"/>
      <c r="H89" s="61"/>
      <c r="I89" s="61"/>
      <c r="J89" s="61"/>
      <c r="K89" s="147"/>
      <c r="L89" s="506"/>
      <c r="M89" s="506"/>
      <c r="N89" s="156"/>
      <c r="O89" s="61"/>
      <c r="P89" s="61"/>
      <c r="Q89" s="61"/>
      <c r="R89" s="61"/>
      <c r="U89" s="1" t="s">
        <v>3895</v>
      </c>
      <c r="V89" s="1">
        <v>30</v>
      </c>
      <c r="W89" s="1">
        <v>9</v>
      </c>
      <c r="AR89" s="1" t="s">
        <v>3874</v>
      </c>
      <c r="AS89" s="85">
        <f ca="1">AS88/2</f>
        <v>5.7600591663287997</v>
      </c>
      <c r="AV89" s="272"/>
      <c r="AW89" s="39"/>
      <c r="AX89" s="268" t="s">
        <v>2770</v>
      </c>
      <c r="AY89" s="268">
        <f ca="1">IF(AY86&lt;0,2,1)</f>
        <v>1</v>
      </c>
      <c r="AZ89" s="39"/>
      <c r="BA89" s="39">
        <v>60</v>
      </c>
      <c r="BB89" s="39">
        <f t="shared" ca="1" si="28"/>
        <v>6.2399408336712003</v>
      </c>
      <c r="BC89" s="39">
        <f t="shared" ca="1" si="29"/>
        <v>0</v>
      </c>
      <c r="BD89" s="39"/>
      <c r="BE89" s="39">
        <v>60</v>
      </c>
      <c r="BF89" s="39">
        <f t="shared" ca="1" si="30"/>
        <v>14.39645002027202</v>
      </c>
      <c r="BG89" s="39">
        <f t="shared" ca="1" si="31"/>
        <v>0</v>
      </c>
      <c r="BH89" s="272"/>
    </row>
    <row r="90" spans="1:79">
      <c r="A90" s="61"/>
      <c r="B90" s="61"/>
      <c r="C90" s="61"/>
      <c r="D90" s="61"/>
      <c r="E90" s="147"/>
      <c r="F90" s="514"/>
      <c r="G90" s="515"/>
      <c r="H90" s="515"/>
      <c r="I90" s="515"/>
      <c r="J90" s="515"/>
      <c r="K90" s="515"/>
      <c r="L90" s="516"/>
      <c r="M90" s="517"/>
      <c r="N90" s="156"/>
      <c r="O90" s="61"/>
      <c r="P90" s="61"/>
      <c r="Q90" s="61"/>
      <c r="R90" s="61"/>
      <c r="U90" s="1" t="s">
        <v>3896</v>
      </c>
      <c r="V90" s="1">
        <v>31</v>
      </c>
      <c r="W90" s="1">
        <v>10</v>
      </c>
      <c r="AR90" s="1" t="s">
        <v>3875</v>
      </c>
      <c r="AS90" s="87">
        <f ca="1">-1*AS89</f>
        <v>-5.7600591663287997</v>
      </c>
      <c r="AV90" s="272"/>
      <c r="AW90" s="39"/>
      <c r="AX90" s="39" t="s">
        <v>2771</v>
      </c>
      <c r="AY90" s="275">
        <f ca="1">IF(AY88&gt;100,0,AY88)</f>
        <v>6.2399408336712003</v>
      </c>
      <c r="AZ90" s="39"/>
      <c r="BA90" s="39">
        <v>50</v>
      </c>
      <c r="BB90" s="39">
        <f t="shared" ca="1" si="28"/>
        <v>6.2399408336712003</v>
      </c>
      <c r="BC90" s="39">
        <f t="shared" ca="1" si="29"/>
        <v>0</v>
      </c>
      <c r="BD90" s="39"/>
      <c r="BE90" s="39">
        <v>50</v>
      </c>
      <c r="BF90" s="39">
        <f t="shared" ca="1" si="30"/>
        <v>14.39645002027202</v>
      </c>
      <c r="BG90" s="39">
        <f t="shared" ca="1" si="31"/>
        <v>0</v>
      </c>
      <c r="BH90" s="272"/>
      <c r="BZ90" s="62" t="s">
        <v>3885</v>
      </c>
      <c r="CA90" s="568" t="str">
        <f ca="1">IF(CA85=0,BZ90,"")</f>
        <v>Το ΠΡΟΣ</v>
      </c>
    </row>
    <row r="91" spans="1:79">
      <c r="A91" s="61"/>
      <c r="B91" s="61"/>
      <c r="C91" s="61"/>
      <c r="D91" s="61"/>
      <c r="E91" s="61"/>
      <c r="F91" s="70"/>
      <c r="G91" s="70"/>
      <c r="H91" s="70"/>
      <c r="I91" s="70"/>
      <c r="J91" s="70"/>
      <c r="K91" s="70"/>
      <c r="L91" s="70"/>
      <c r="M91" s="70"/>
      <c r="N91" s="61"/>
      <c r="O91" s="61"/>
      <c r="P91" s="61"/>
      <c r="Q91" s="61"/>
      <c r="R91" s="61"/>
      <c r="U91" s="1" t="s">
        <v>3897</v>
      </c>
      <c r="V91" s="598">
        <f ca="1">V76-1</f>
        <v>1</v>
      </c>
      <c r="X91" s="74" t="e">
        <f ca="1">LOOKUP(X82,(W83:W90),(V83:V90))</f>
        <v>#N/A</v>
      </c>
      <c r="AF91" s="1" t="s">
        <v>2665</v>
      </c>
      <c r="AG91" s="68">
        <f ca="1">V129</f>
        <v>2020</v>
      </c>
      <c r="AH91" s="257" t="s">
        <v>3695</v>
      </c>
      <c r="AR91" s="1" t="s">
        <v>3876</v>
      </c>
      <c r="AS91" s="1">
        <f ca="1">12-AS89</f>
        <v>6.2399408336712003</v>
      </c>
      <c r="AV91" s="272"/>
      <c r="AW91" s="276" t="s">
        <v>2772</v>
      </c>
      <c r="AX91" s="39"/>
      <c r="AY91" s="39"/>
      <c r="AZ91" s="39"/>
      <c r="BA91" s="39">
        <v>40</v>
      </c>
      <c r="BB91" s="39">
        <f t="shared" ca="1" si="28"/>
        <v>6.2399408336712003</v>
      </c>
      <c r="BC91" s="39">
        <f t="shared" ca="1" si="29"/>
        <v>0</v>
      </c>
      <c r="BD91" s="39"/>
      <c r="BE91" s="39">
        <v>40</v>
      </c>
      <c r="BF91" s="39">
        <f t="shared" ca="1" si="30"/>
        <v>14.39645002027202</v>
      </c>
      <c r="BG91" s="39">
        <f t="shared" ca="1" si="31"/>
        <v>0</v>
      </c>
      <c r="BH91" s="272"/>
      <c r="BZ91" s="62" t="s">
        <v>3631</v>
      </c>
      <c r="CA91" s="568" t="str">
        <f ca="1">IF(CA85=0,BZ91,"")</f>
        <v>Ωριαία γωνία</v>
      </c>
    </row>
    <row r="92" spans="1:79">
      <c r="A92" s="61"/>
      <c r="B92" s="61"/>
      <c r="C92" s="61"/>
      <c r="D92" s="61"/>
      <c r="E92" s="61"/>
      <c r="F92" s="498"/>
      <c r="G92" s="69" t="s">
        <v>3547</v>
      </c>
      <c r="H92" s="69"/>
      <c r="I92" s="69"/>
      <c r="J92" s="69"/>
      <c r="K92" s="147"/>
      <c r="L92" s="61"/>
      <c r="M92" s="61"/>
      <c r="N92" s="61"/>
      <c r="O92" s="61"/>
      <c r="P92" s="61"/>
      <c r="Q92" s="61"/>
      <c r="R92" s="61"/>
      <c r="AF92" s="69"/>
      <c r="AG92" s="42" t="s">
        <v>3696</v>
      </c>
      <c r="AH92" s="70" t="s">
        <v>2731</v>
      </c>
      <c r="AR92" s="1" t="s">
        <v>3877</v>
      </c>
      <c r="AS92" s="556">
        <f ca="1">IF(AS90&lt;0,AS91,AS90)</f>
        <v>6.2399408336712003</v>
      </c>
      <c r="AV92" s="272"/>
      <c r="AW92" s="277">
        <f ca="1">AS92</f>
        <v>6.2399408336712003</v>
      </c>
      <c r="AX92" s="39"/>
      <c r="AY92" s="39"/>
      <c r="AZ92" s="39"/>
      <c r="BA92" s="39">
        <v>30</v>
      </c>
      <c r="BB92" s="39">
        <f t="shared" ca="1" si="28"/>
        <v>6.2399408336712003</v>
      </c>
      <c r="BC92" s="39">
        <f t="shared" ca="1" si="29"/>
        <v>0</v>
      </c>
      <c r="BD92" s="39"/>
      <c r="BE92" s="39">
        <v>30</v>
      </c>
      <c r="BF92" s="39">
        <f t="shared" ca="1" si="30"/>
        <v>14.39645002027202</v>
      </c>
      <c r="BG92" s="39">
        <f t="shared" ca="1" si="31"/>
        <v>0</v>
      </c>
      <c r="BH92" s="272"/>
    </row>
    <row r="93" spans="1:79">
      <c r="A93" s="61"/>
      <c r="B93" s="61"/>
      <c r="C93" s="61"/>
      <c r="D93" s="61"/>
      <c r="E93" s="61"/>
      <c r="F93" s="507"/>
      <c r="G93" s="509" t="str">
        <f ca="1">G51</f>
        <v/>
      </c>
      <c r="H93" s="510" t="str">
        <f ca="1">H51</f>
        <v/>
      </c>
      <c r="I93" s="511" t="str">
        <f ca="1">I51</f>
        <v/>
      </c>
      <c r="J93" s="512" t="str">
        <f ca="1">J44</f>
        <v/>
      </c>
      <c r="K93" s="499"/>
      <c r="L93" s="61"/>
      <c r="M93" s="61"/>
      <c r="N93" s="61"/>
      <c r="O93" s="61"/>
      <c r="P93" s="61"/>
      <c r="Q93" s="61"/>
      <c r="R93" s="61"/>
      <c r="AF93" s="70" t="s">
        <v>2762</v>
      </c>
      <c r="AG93" s="70" t="s">
        <v>3697</v>
      </c>
      <c r="AH93" s="70" t="s">
        <v>3698</v>
      </c>
      <c r="AV93" s="272"/>
      <c r="AW93" s="278" t="s">
        <v>2672</v>
      </c>
      <c r="AX93" s="39"/>
      <c r="AY93" s="39"/>
      <c r="AZ93" s="39"/>
      <c r="BA93" s="39">
        <v>20</v>
      </c>
      <c r="BB93" s="39">
        <f t="shared" ca="1" si="28"/>
        <v>6.2399408336712003</v>
      </c>
      <c r="BC93" s="39">
        <f t="shared" ca="1" si="29"/>
        <v>0</v>
      </c>
      <c r="BD93" s="39"/>
      <c r="BE93" s="39">
        <v>20</v>
      </c>
      <c r="BF93" s="39">
        <f t="shared" ca="1" si="30"/>
        <v>14.39645002027202</v>
      </c>
      <c r="BG93" s="39">
        <f t="shared" ca="1" si="31"/>
        <v>0</v>
      </c>
      <c r="BH93" s="272"/>
    </row>
    <row r="94" spans="1:79">
      <c r="A94" s="61"/>
      <c r="B94" s="61"/>
      <c r="C94" s="61"/>
      <c r="D94" s="61"/>
      <c r="E94" s="61"/>
      <c r="F94" s="498" t="s">
        <v>3692</v>
      </c>
      <c r="G94" s="70" t="str">
        <f ca="1">CA177</f>
        <v>Το ΑΠΟ</v>
      </c>
      <c r="H94" s="191"/>
      <c r="I94" s="68" t="str">
        <f ca="1">I52</f>
        <v xml:space="preserve">Δυτικά </v>
      </c>
      <c r="J94" s="197"/>
      <c r="K94" s="499"/>
      <c r="L94" s="61"/>
      <c r="M94" s="61"/>
      <c r="N94" s="61"/>
      <c r="O94" s="61"/>
      <c r="P94" s="61"/>
      <c r="Q94" s="61"/>
      <c r="R94" s="61"/>
      <c r="U94" s="63" t="s">
        <v>3404</v>
      </c>
      <c r="AF94" s="69">
        <v>2019</v>
      </c>
      <c r="AG94" s="69">
        <v>365</v>
      </c>
      <c r="AH94" s="69">
        <v>2</v>
      </c>
      <c r="AR94" s="1" t="s">
        <v>3476</v>
      </c>
      <c r="AS94" s="91">
        <f ca="1">AY112</f>
        <v>6</v>
      </c>
      <c r="AV94" s="272"/>
      <c r="AW94" s="73">
        <f ca="1">IF(AY89=1,BG117,BG121)</f>
        <v>6</v>
      </c>
      <c r="AX94" s="39"/>
      <c r="AY94" s="39"/>
      <c r="AZ94" s="39"/>
      <c r="BA94" s="39">
        <v>10</v>
      </c>
      <c r="BB94" s="39">
        <f t="shared" ca="1" si="28"/>
        <v>6.2399408336712003</v>
      </c>
      <c r="BC94" s="39">
        <f t="shared" ca="1" si="29"/>
        <v>0</v>
      </c>
      <c r="BD94" s="39"/>
      <c r="BE94" s="39">
        <v>10</v>
      </c>
      <c r="BF94" s="39">
        <f t="shared" ca="1" si="30"/>
        <v>-1</v>
      </c>
      <c r="BG94" s="39">
        <f t="shared" ca="1" si="31"/>
        <v>10</v>
      </c>
      <c r="BH94" s="272"/>
    </row>
    <row r="95" spans="1:79">
      <c r="A95" s="61"/>
      <c r="B95" s="61"/>
      <c r="C95" s="61"/>
      <c r="D95" s="61"/>
      <c r="E95" s="61"/>
      <c r="F95" s="498" t="s">
        <v>3561</v>
      </c>
      <c r="G95" s="61" t="str">
        <f ca="1">G53</f>
        <v>Ωριαία γωνία</v>
      </c>
      <c r="H95" s="61"/>
      <c r="I95" s="42"/>
      <c r="J95" s="61"/>
      <c r="K95" s="147"/>
      <c r="L95" s="61"/>
      <c r="M95" s="61"/>
      <c r="N95" s="61"/>
      <c r="O95" s="61"/>
      <c r="P95" s="61"/>
      <c r="Q95" s="61"/>
      <c r="R95" s="61"/>
      <c r="U95" s="1" t="s">
        <v>3898</v>
      </c>
      <c r="V95" s="1">
        <f ca="1">V78-1</f>
        <v>16</v>
      </c>
      <c r="AF95" s="401">
        <v>2020</v>
      </c>
      <c r="AG95" s="401">
        <v>366</v>
      </c>
      <c r="AH95" s="42">
        <v>2</v>
      </c>
      <c r="AR95" s="1" t="s">
        <v>2730</v>
      </c>
      <c r="AS95" s="91">
        <f ca="1">AY110</f>
        <v>14</v>
      </c>
      <c r="AV95" s="272"/>
      <c r="AW95" s="73">
        <f ca="1">IF(AY89=1,BG118,BG122)</f>
        <v>14</v>
      </c>
      <c r="AX95" s="39"/>
      <c r="AY95" s="39"/>
      <c r="AZ95" s="39"/>
      <c r="BA95" s="39"/>
      <c r="BB95" s="39"/>
      <c r="BC95" s="279">
        <f ca="1">SUM(BC86:BC94)</f>
        <v>0</v>
      </c>
      <c r="BD95" s="39"/>
      <c r="BE95" s="39"/>
      <c r="BF95" s="39"/>
      <c r="BG95" s="279">
        <f ca="1">SUM(BG86:BG94)</f>
        <v>10</v>
      </c>
      <c r="BH95" s="272"/>
    </row>
    <row r="96" spans="1:79">
      <c r="A96" s="61"/>
      <c r="B96" s="61"/>
      <c r="C96" s="61"/>
      <c r="D96" s="61"/>
      <c r="E96" s="61"/>
      <c r="F96" s="498"/>
      <c r="G96" s="61" t="s">
        <v>3565</v>
      </c>
      <c r="H96" s="147"/>
      <c r="I96" s="68">
        <f ca="1">I47</f>
        <v>7</v>
      </c>
      <c r="J96" s="156"/>
      <c r="K96" s="147"/>
      <c r="L96" s="61"/>
      <c r="M96" s="61"/>
      <c r="N96" s="61"/>
      <c r="O96" s="61"/>
      <c r="P96" s="61"/>
      <c r="Q96" s="61"/>
      <c r="R96" s="61"/>
      <c r="U96" s="1" t="s">
        <v>3899</v>
      </c>
      <c r="V96" s="74">
        <f ca="1">IF(V95=-1,23,V95)</f>
        <v>16</v>
      </c>
      <c r="Z96" s="1" t="s">
        <v>2669</v>
      </c>
      <c r="AF96" s="42">
        <v>2021</v>
      </c>
      <c r="AG96" s="42">
        <v>365</v>
      </c>
      <c r="AH96" s="42">
        <v>6</v>
      </c>
      <c r="AV96" s="272"/>
      <c r="AW96" s="73">
        <f ca="1">IF(AY89=1,BG119,BG123)</f>
        <v>23.787001216321215</v>
      </c>
      <c r="AX96" s="39"/>
      <c r="AY96" s="39"/>
      <c r="AZ96" s="39"/>
      <c r="BA96" s="39"/>
      <c r="BB96" s="39"/>
      <c r="BC96" s="280">
        <f ca="1">BB85-BC95</f>
        <v>6.2399408336712003</v>
      </c>
      <c r="BD96" s="39"/>
      <c r="BE96" s="39"/>
      <c r="BF96" s="39"/>
      <c r="BG96" s="280">
        <f ca="1">BF85-BG95</f>
        <v>4.3964500202720203</v>
      </c>
      <c r="BH96" s="272"/>
      <c r="BZ96" s="1" t="s">
        <v>2666</v>
      </c>
    </row>
    <row r="97" spans="1:79">
      <c r="A97" s="61"/>
      <c r="B97" s="61"/>
      <c r="C97" s="61"/>
      <c r="D97" s="61"/>
      <c r="E97" s="61"/>
      <c r="F97" s="498"/>
      <c r="G97" s="61" t="s">
        <v>3569</v>
      </c>
      <c r="H97" s="147"/>
      <c r="I97" s="68">
        <f ca="1">I48</f>
        <v>33</v>
      </c>
      <c r="J97" s="156"/>
      <c r="K97" s="147"/>
      <c r="L97" s="61"/>
      <c r="M97" s="61"/>
      <c r="N97" s="61"/>
      <c r="O97" s="61"/>
      <c r="P97" s="61"/>
      <c r="Q97" s="61"/>
      <c r="R97" s="61"/>
      <c r="U97" s="63" t="s">
        <v>3412</v>
      </c>
      <c r="Z97" s="363" t="s">
        <v>3425</v>
      </c>
      <c r="AA97" s="61">
        <v>2019</v>
      </c>
      <c r="AF97" s="42">
        <v>2022</v>
      </c>
      <c r="AG97" s="42">
        <v>365</v>
      </c>
      <c r="AH97" s="42">
        <v>11</v>
      </c>
      <c r="AV97" s="272"/>
      <c r="AW97" s="39"/>
      <c r="AX97" s="39"/>
      <c r="AY97" s="39"/>
      <c r="AZ97" s="39"/>
      <c r="BA97" s="39"/>
      <c r="BB97" s="68">
        <f ca="1">BC96</f>
        <v>6.2399408336712003</v>
      </c>
      <c r="BC97" s="39"/>
      <c r="BD97" s="39"/>
      <c r="BE97" s="39"/>
      <c r="BF97" s="68">
        <f ca="1">BG96</f>
        <v>4.3964500202720203</v>
      </c>
      <c r="BG97" s="39"/>
      <c r="BH97" s="272"/>
      <c r="BZ97" s="63" t="s">
        <v>2761</v>
      </c>
      <c r="CA97" s="39"/>
    </row>
    <row r="98" spans="1:79">
      <c r="A98" s="61"/>
      <c r="B98" s="61"/>
      <c r="C98" s="61"/>
      <c r="D98" s="61"/>
      <c r="E98" s="61"/>
      <c r="F98" s="498"/>
      <c r="G98" s="61" t="s">
        <v>3571</v>
      </c>
      <c r="H98" s="147"/>
      <c r="I98" s="500">
        <f ca="1">I49</f>
        <v>37.031971036351479</v>
      </c>
      <c r="J98" s="156"/>
      <c r="K98" s="147"/>
      <c r="L98" s="61"/>
      <c r="M98" s="61"/>
      <c r="N98" s="61"/>
      <c r="O98" s="61"/>
      <c r="P98" s="61"/>
      <c r="Q98" s="61"/>
      <c r="R98" s="61"/>
      <c r="U98" s="1" t="s">
        <v>3900</v>
      </c>
      <c r="V98" s="1">
        <f ca="1">IF(V95=-1,-1,0)</f>
        <v>0</v>
      </c>
      <c r="Z98" s="30" t="s">
        <v>3427</v>
      </c>
      <c r="AA98" s="364">
        <v>23.907699999999998</v>
      </c>
      <c r="AF98" s="42">
        <v>2023</v>
      </c>
      <c r="AG98" s="42">
        <v>365</v>
      </c>
      <c r="AH98" s="42">
        <v>17</v>
      </c>
      <c r="AV98" s="272"/>
      <c r="AW98" s="91">
        <f ca="1">IF(AY90=0,0,AW94)</f>
        <v>6</v>
      </c>
      <c r="AX98" s="39"/>
      <c r="AY98" s="39"/>
      <c r="AZ98" s="39"/>
      <c r="BA98" s="39">
        <v>9</v>
      </c>
      <c r="BB98" s="39">
        <f ca="1">IF(BA98&gt;BB97,BB97,-1)</f>
        <v>6.2399408336712003</v>
      </c>
      <c r="BC98" s="39">
        <f ca="1">IF(BB98=-1,1,0)</f>
        <v>0</v>
      </c>
      <c r="BD98" s="39"/>
      <c r="BE98" s="39">
        <v>9</v>
      </c>
      <c r="BF98" s="39">
        <f ca="1">IF(BE98&gt;BF97,BF97,-1)</f>
        <v>4.3964500202720203</v>
      </c>
      <c r="BG98" s="39">
        <f ca="1">IF(BF98=-1,1,0)</f>
        <v>0</v>
      </c>
      <c r="BH98" s="272"/>
      <c r="BZ98" s="1" t="s">
        <v>3465</v>
      </c>
      <c r="CA98" s="177">
        <f ca="1">CA11</f>
        <v>17.299701507404215</v>
      </c>
    </row>
    <row r="99" spans="1:79">
      <c r="A99" s="61"/>
      <c r="B99" s="61"/>
      <c r="C99" s="61"/>
      <c r="D99" s="61"/>
      <c r="E99" s="61"/>
      <c r="F99" s="498"/>
      <c r="G99" s="61"/>
      <c r="H99" s="61"/>
      <c r="I99" s="70"/>
      <c r="J99" s="61"/>
      <c r="K99" s="147"/>
      <c r="L99" s="61"/>
      <c r="M99" s="61"/>
      <c r="N99" s="61"/>
      <c r="O99" s="61"/>
      <c r="P99" s="61"/>
      <c r="Q99" s="61"/>
      <c r="R99" s="61"/>
      <c r="U99" s="1" t="s">
        <v>3694</v>
      </c>
      <c r="V99" s="82">
        <f ca="1">V98+V77</f>
        <v>3</v>
      </c>
      <c r="Z99" s="30" t="s">
        <v>3432</v>
      </c>
      <c r="AA99" s="61">
        <v>4</v>
      </c>
      <c r="AF99" s="401">
        <v>2024</v>
      </c>
      <c r="AG99" s="401">
        <v>366</v>
      </c>
      <c r="AH99" s="42">
        <v>20</v>
      </c>
      <c r="AV99" s="272"/>
      <c r="AW99" s="91">
        <f ca="1">IF(AY90=0,0,AW95)</f>
        <v>14</v>
      </c>
      <c r="AX99" s="39"/>
      <c r="AY99" s="39"/>
      <c r="AZ99" s="39"/>
      <c r="BA99" s="39">
        <v>8</v>
      </c>
      <c r="BB99" s="39">
        <f t="shared" ref="BB99:BB106" ca="1" si="32">IF(BA99&gt;BB98,BB98,-1)</f>
        <v>6.2399408336712003</v>
      </c>
      <c r="BC99" s="39">
        <f t="shared" ref="BC99:BC106" ca="1" si="33">IF(BB99=-1,1,0)</f>
        <v>0</v>
      </c>
      <c r="BD99" s="39"/>
      <c r="BE99" s="39">
        <v>8</v>
      </c>
      <c r="BF99" s="39">
        <f t="shared" ref="BF99:BF106" ca="1" si="34">IF(BE99&gt;BF98,BF98,-1)</f>
        <v>4.3964500202720203</v>
      </c>
      <c r="BG99" s="39">
        <f t="shared" ref="BG99:BG106" ca="1" si="35">IF(BF99=-1,1,0)</f>
        <v>0</v>
      </c>
      <c r="BH99" s="272"/>
      <c r="BZ99" s="1" t="s">
        <v>3469</v>
      </c>
      <c r="CA99" s="61">
        <f>CA12</f>
        <v>23.907699999999998</v>
      </c>
    </row>
    <row r="100" spans="1:79">
      <c r="A100" s="61"/>
      <c r="B100" s="61"/>
      <c r="C100" s="61"/>
      <c r="D100" s="61"/>
      <c r="E100" s="61"/>
      <c r="F100" s="61"/>
      <c r="G100" s="61"/>
      <c r="H100" s="61"/>
      <c r="I100" s="61"/>
      <c r="J100" s="61"/>
      <c r="K100" s="61"/>
      <c r="L100" s="61"/>
      <c r="M100" s="61"/>
      <c r="N100" s="61"/>
      <c r="O100" s="61"/>
      <c r="P100" s="61"/>
      <c r="Q100" s="61"/>
      <c r="R100" s="61"/>
      <c r="U100" s="1" t="s">
        <v>3901</v>
      </c>
      <c r="V100" s="1">
        <f ca="1">IF(V95=-1,1,0)</f>
        <v>0</v>
      </c>
      <c r="Z100" s="30" t="s">
        <v>3436</v>
      </c>
      <c r="AA100" s="61">
        <v>1</v>
      </c>
      <c r="AF100" s="42">
        <v>2025</v>
      </c>
      <c r="AG100" s="42">
        <v>365</v>
      </c>
      <c r="AH100" s="42">
        <v>26</v>
      </c>
      <c r="AV100" s="272"/>
      <c r="AW100" s="91">
        <f ca="1">IF(AY90=0,0,AW96)</f>
        <v>23.787001216321215</v>
      </c>
      <c r="AX100" s="39"/>
      <c r="AY100" s="39"/>
      <c r="AZ100" s="39"/>
      <c r="BA100" s="39">
        <v>7</v>
      </c>
      <c r="BB100" s="39">
        <f t="shared" ca="1" si="32"/>
        <v>6.2399408336712003</v>
      </c>
      <c r="BC100" s="39">
        <f t="shared" ca="1" si="33"/>
        <v>0</v>
      </c>
      <c r="BD100" s="39"/>
      <c r="BE100" s="39">
        <v>7</v>
      </c>
      <c r="BF100" s="39">
        <f t="shared" ca="1" si="34"/>
        <v>4.3964500202720203</v>
      </c>
      <c r="BG100" s="39">
        <f t="shared" ca="1" si="35"/>
        <v>0</v>
      </c>
      <c r="BH100" s="272"/>
      <c r="BZ100" s="1" t="s">
        <v>3403</v>
      </c>
      <c r="CA100" s="61">
        <f ca="1">V130</f>
        <v>2</v>
      </c>
    </row>
    <row r="101" spans="1:79">
      <c r="U101" s="1" t="s">
        <v>3902</v>
      </c>
      <c r="V101" s="1">
        <f ca="1">IF(V77=1,1,0)</f>
        <v>0</v>
      </c>
      <c r="Z101" s="30" t="s">
        <v>3440</v>
      </c>
      <c r="AA101" s="61">
        <v>20</v>
      </c>
      <c r="AF101" s="42">
        <v>2026</v>
      </c>
      <c r="AG101" s="42">
        <v>365</v>
      </c>
      <c r="AH101" s="42">
        <v>30</v>
      </c>
      <c r="AV101" s="272"/>
      <c r="AW101" s="39" t="s">
        <v>2773</v>
      </c>
      <c r="AX101" s="39"/>
      <c r="AY101" s="39"/>
      <c r="AZ101" s="39"/>
      <c r="BA101" s="39">
        <v>6</v>
      </c>
      <c r="BB101" s="39">
        <f t="shared" ca="1" si="32"/>
        <v>-1</v>
      </c>
      <c r="BC101" s="39">
        <f t="shared" ca="1" si="33"/>
        <v>1</v>
      </c>
      <c r="BD101" s="39"/>
      <c r="BE101" s="39">
        <v>6</v>
      </c>
      <c r="BF101" s="39">
        <f t="shared" ca="1" si="34"/>
        <v>4.3964500202720203</v>
      </c>
      <c r="BG101" s="39">
        <f t="shared" ca="1" si="35"/>
        <v>0</v>
      </c>
      <c r="BH101" s="272"/>
      <c r="BZ101" s="1" t="s">
        <v>3412</v>
      </c>
      <c r="CA101" s="61">
        <f ca="1">V131</f>
        <v>3</v>
      </c>
    </row>
    <row r="102" spans="1:79">
      <c r="U102" s="1" t="s">
        <v>2736</v>
      </c>
      <c r="V102" s="87">
        <f ca="1">V100+V101</f>
        <v>0</v>
      </c>
      <c r="Z102" s="30" t="s">
        <v>3443</v>
      </c>
      <c r="AA102" s="61">
        <v>0</v>
      </c>
      <c r="AF102" s="518">
        <v>2027</v>
      </c>
      <c r="AG102" s="518">
        <v>365</v>
      </c>
      <c r="AH102" s="518">
        <v>34</v>
      </c>
      <c r="AV102" s="272"/>
      <c r="AW102" s="93">
        <f ca="1">IF(AY104=4,"  -0",AW98)</f>
        <v>6</v>
      </c>
      <c r="AX102" s="39" t="s">
        <v>2774</v>
      </c>
      <c r="AY102" s="39">
        <f ca="1">IF(AW98=0,2,0)</f>
        <v>0</v>
      </c>
      <c r="AZ102" s="39"/>
      <c r="BA102" s="39">
        <v>5</v>
      </c>
      <c r="BB102" s="39">
        <f t="shared" ca="1" si="32"/>
        <v>-1</v>
      </c>
      <c r="BC102" s="39">
        <f t="shared" ca="1" si="33"/>
        <v>1</v>
      </c>
      <c r="BD102" s="39"/>
      <c r="BE102" s="39">
        <v>5</v>
      </c>
      <c r="BF102" s="39">
        <f t="shared" ca="1" si="34"/>
        <v>4.3964500202720203</v>
      </c>
      <c r="BG102" s="39">
        <f t="shared" ca="1" si="35"/>
        <v>0</v>
      </c>
      <c r="BH102" s="272"/>
      <c r="BZ102" s="1" t="s">
        <v>3476</v>
      </c>
      <c r="CA102" s="61">
        <f ca="1">V132</f>
        <v>17.988888888888887</v>
      </c>
    </row>
    <row r="103" spans="1:79">
      <c r="U103" s="62"/>
      <c r="V103" s="62">
        <v>0</v>
      </c>
      <c r="W103" s="1">
        <f ca="1">V99</f>
        <v>3</v>
      </c>
      <c r="Z103" s="30" t="s">
        <v>3446</v>
      </c>
      <c r="AA103" s="61">
        <v>0</v>
      </c>
      <c r="AF103" s="401">
        <v>2028</v>
      </c>
      <c r="AG103" s="401">
        <v>366</v>
      </c>
      <c r="AH103" s="42">
        <v>29</v>
      </c>
      <c r="AV103" s="272"/>
      <c r="AW103" s="93">
        <f ca="1">BG118</f>
        <v>14</v>
      </c>
      <c r="AX103" s="39"/>
      <c r="AY103" s="39">
        <f ca="1">AY89</f>
        <v>1</v>
      </c>
      <c r="AZ103" s="39"/>
      <c r="BA103" s="39">
        <v>4</v>
      </c>
      <c r="BB103" s="39">
        <f t="shared" ca="1" si="32"/>
        <v>-1</v>
      </c>
      <c r="BC103" s="39">
        <f t="shared" ca="1" si="33"/>
        <v>1</v>
      </c>
      <c r="BD103" s="39"/>
      <c r="BE103" s="39">
        <v>4</v>
      </c>
      <c r="BF103" s="39">
        <f t="shared" ca="1" si="34"/>
        <v>-1</v>
      </c>
      <c r="BG103" s="39">
        <f t="shared" ca="1" si="35"/>
        <v>1</v>
      </c>
      <c r="BH103" s="272"/>
      <c r="BZ103" s="335" t="s">
        <v>3479</v>
      </c>
      <c r="CA103" s="177">
        <v>0</v>
      </c>
    </row>
    <row r="104" spans="1:79">
      <c r="U104" s="62"/>
      <c r="V104" s="62">
        <v>1</v>
      </c>
      <c r="W104" s="1">
        <f ca="1">V99</f>
        <v>3</v>
      </c>
      <c r="Z104" s="26" t="s">
        <v>3452</v>
      </c>
      <c r="AA104" s="61">
        <v>0</v>
      </c>
      <c r="AF104" s="42">
        <v>2029</v>
      </c>
      <c r="AG104" s="42">
        <v>365</v>
      </c>
      <c r="AH104" s="42">
        <v>29</v>
      </c>
      <c r="AV104" s="272"/>
      <c r="AW104" s="93">
        <f ca="1">BG119</f>
        <v>23.787001216321215</v>
      </c>
      <c r="AX104" s="39"/>
      <c r="AY104" s="39">
        <f ca="1">AY103+AY102</f>
        <v>1</v>
      </c>
      <c r="AZ104" s="39"/>
      <c r="BA104" s="39">
        <v>3</v>
      </c>
      <c r="BB104" s="39">
        <f t="shared" ca="1" si="32"/>
        <v>-1</v>
      </c>
      <c r="BC104" s="39">
        <f t="shared" ca="1" si="33"/>
        <v>1</v>
      </c>
      <c r="BD104" s="39"/>
      <c r="BE104" s="39">
        <v>3</v>
      </c>
      <c r="BF104" s="39">
        <f t="shared" ca="1" si="34"/>
        <v>-1</v>
      </c>
      <c r="BG104" s="39">
        <f t="shared" ca="1" si="35"/>
        <v>1</v>
      </c>
      <c r="BH104" s="272"/>
      <c r="BZ104" s="1" t="s">
        <v>10</v>
      </c>
      <c r="CA104" s="61">
        <v>0</v>
      </c>
    </row>
    <row r="105" spans="1:79">
      <c r="U105" s="62"/>
      <c r="V105" s="62">
        <v>2</v>
      </c>
      <c r="W105" s="1">
        <f ca="1">V106</f>
        <v>3</v>
      </c>
      <c r="Z105" s="26" t="s">
        <v>3458</v>
      </c>
      <c r="AA105" s="61">
        <v>0</v>
      </c>
      <c r="AF105" s="42">
        <v>2030</v>
      </c>
      <c r="AG105" s="42">
        <v>365</v>
      </c>
      <c r="AH105" s="42">
        <v>23</v>
      </c>
      <c r="AV105" s="272"/>
      <c r="AW105" s="39"/>
      <c r="AX105" s="39"/>
      <c r="AY105" s="39"/>
      <c r="AZ105" s="39"/>
      <c r="BA105" s="39">
        <v>2</v>
      </c>
      <c r="BB105" s="39">
        <f t="shared" ca="1" si="32"/>
        <v>-1</v>
      </c>
      <c r="BC105" s="39">
        <f t="shared" ca="1" si="33"/>
        <v>1</v>
      </c>
      <c r="BD105" s="39"/>
      <c r="BE105" s="39">
        <v>2</v>
      </c>
      <c r="BF105" s="39">
        <f t="shared" ca="1" si="34"/>
        <v>-1</v>
      </c>
      <c r="BG105" s="39">
        <f t="shared" ca="1" si="35"/>
        <v>1</v>
      </c>
      <c r="BH105" s="272"/>
      <c r="BZ105" s="1" t="s">
        <v>3484</v>
      </c>
      <c r="CA105" s="61">
        <f ca="1">CA18</f>
        <v>2.031375227686703</v>
      </c>
    </row>
    <row r="106" spans="1:79">
      <c r="U106" s="1" t="s">
        <v>3903</v>
      </c>
      <c r="V106" s="599">
        <f ca="1">IF(V102=2,X91,V77)</f>
        <v>3</v>
      </c>
      <c r="W106" s="62"/>
      <c r="AF106" s="42">
        <v>2031</v>
      </c>
      <c r="AG106" s="42">
        <v>365</v>
      </c>
      <c r="AH106" s="42">
        <v>20</v>
      </c>
      <c r="AV106" s="272"/>
      <c r="AW106" s="39"/>
      <c r="AX106" s="39" t="s">
        <v>3878</v>
      </c>
      <c r="AY106" s="39"/>
      <c r="AZ106" s="39"/>
      <c r="BA106" s="39">
        <v>1</v>
      </c>
      <c r="BB106" s="39">
        <f t="shared" ca="1" si="32"/>
        <v>-1</v>
      </c>
      <c r="BC106" s="39">
        <f t="shared" ca="1" si="33"/>
        <v>1</v>
      </c>
      <c r="BD106" s="39"/>
      <c r="BE106" s="39">
        <v>1</v>
      </c>
      <c r="BF106" s="39">
        <f t="shared" ca="1" si="34"/>
        <v>-1</v>
      </c>
      <c r="BG106" s="39">
        <f t="shared" ca="1" si="35"/>
        <v>1</v>
      </c>
      <c r="BH106" s="272"/>
      <c r="BZ106" s="1" t="s">
        <v>3489</v>
      </c>
      <c r="CA106" s="394">
        <v>6.5527872763206041E-2</v>
      </c>
    </row>
    <row r="107" spans="1:79">
      <c r="U107" s="1" t="s">
        <v>3904</v>
      </c>
      <c r="V107" s="74">
        <f ca="1">LOOKUP(V102,(V103:V105),(W103:W105))</f>
        <v>3</v>
      </c>
      <c r="AF107" s="401">
        <v>2032</v>
      </c>
      <c r="AG107" s="401">
        <v>366</v>
      </c>
      <c r="AH107" s="42">
        <v>10</v>
      </c>
      <c r="AV107" s="272"/>
      <c r="AW107" s="39"/>
      <c r="AX107" s="175" t="s">
        <v>3660</v>
      </c>
      <c r="AY107" s="257">
        <f ca="1">IF(AW104&gt;30,1,0)</f>
        <v>0</v>
      </c>
      <c r="AZ107" s="39"/>
      <c r="BA107" s="39"/>
      <c r="BB107" s="39"/>
      <c r="BC107" s="279">
        <f ca="1">SUM(BC98:BC106)</f>
        <v>6</v>
      </c>
      <c r="BD107" s="39"/>
      <c r="BE107" s="39"/>
      <c r="BF107" s="39"/>
      <c r="BG107" s="279">
        <f ca="1">SUM(BG98:BG106)</f>
        <v>4</v>
      </c>
      <c r="BH107" s="272"/>
      <c r="BZ107" s="1" t="s">
        <v>3497</v>
      </c>
      <c r="CA107" s="402">
        <f>Φύλλο1!BF31</f>
        <v>18.615638888888888</v>
      </c>
    </row>
    <row r="108" spans="1:79">
      <c r="AF108" s="42">
        <v>2033</v>
      </c>
      <c r="AG108" s="42">
        <v>365</v>
      </c>
      <c r="AH108" s="42">
        <v>4</v>
      </c>
      <c r="AV108" s="272"/>
      <c r="AW108" s="39"/>
      <c r="AX108" s="43" t="s">
        <v>3664</v>
      </c>
      <c r="AY108" s="372">
        <f ca="1">AY107+AW103</f>
        <v>14</v>
      </c>
      <c r="AZ108" s="39"/>
      <c r="BC108" s="82">
        <f ca="1">BC107+BC95</f>
        <v>6</v>
      </c>
      <c r="BH108" s="272"/>
      <c r="BZ108" s="1" t="s">
        <v>3501</v>
      </c>
      <c r="CA108" s="177">
        <v>30</v>
      </c>
    </row>
    <row r="109" spans="1:79">
      <c r="V109" s="62"/>
      <c r="AF109" s="42">
        <v>2034</v>
      </c>
      <c r="AG109" s="42">
        <v>365</v>
      </c>
      <c r="AH109" s="42">
        <v>3</v>
      </c>
      <c r="AV109" s="272"/>
      <c r="AW109" s="39"/>
      <c r="AX109" s="43" t="s">
        <v>3668</v>
      </c>
      <c r="AY109" s="230">
        <f ca="1">IF(AY108&lt;60,0,1)</f>
        <v>0</v>
      </c>
      <c r="AZ109" s="39"/>
      <c r="BA109" s="39"/>
      <c r="BB109" s="39"/>
      <c r="BC109" s="274">
        <f ca="1">BB97-BC107</f>
        <v>0.23994083367120034</v>
      </c>
      <c r="BD109" s="281">
        <f ca="1">BC109*60</f>
        <v>14.39645002027202</v>
      </c>
      <c r="BE109" s="39"/>
      <c r="BF109" s="39"/>
      <c r="BG109" s="280">
        <f ca="1">BF97-BG107</f>
        <v>0.39645002027202025</v>
      </c>
      <c r="BH109" s="272"/>
    </row>
    <row r="110" spans="1:79">
      <c r="U110" s="63" t="s">
        <v>3403</v>
      </c>
      <c r="AF110" s="42">
        <v>2035</v>
      </c>
      <c r="AG110" s="42">
        <v>365</v>
      </c>
      <c r="AH110" s="42">
        <v>-3</v>
      </c>
      <c r="AV110" s="272"/>
      <c r="AW110" s="39"/>
      <c r="AX110" s="43" t="s">
        <v>3671</v>
      </c>
      <c r="AY110" s="557">
        <f ca="1">IF(AY108&lt;60,AY108,0)</f>
        <v>14</v>
      </c>
      <c r="AZ110" s="39"/>
      <c r="BA110" s="39" t="s">
        <v>2775</v>
      </c>
      <c r="BB110" s="39"/>
      <c r="BC110" s="39"/>
      <c r="BD110" s="39"/>
      <c r="BE110" s="39" t="s">
        <v>2776</v>
      </c>
      <c r="BF110" s="39"/>
      <c r="BG110" s="39">
        <f ca="1">BF85-BG109</f>
        <v>14</v>
      </c>
      <c r="BH110" s="272"/>
      <c r="BZ110" s="1" t="s">
        <v>3509</v>
      </c>
      <c r="CA110" s="1">
        <f>CA108-CA99</f>
        <v>6.0923000000000016</v>
      </c>
    </row>
    <row r="111" spans="1:79">
      <c r="U111" s="1" t="s">
        <v>3905</v>
      </c>
      <c r="V111" s="1">
        <f ca="1">IF(V77=1,1,0)</f>
        <v>0</v>
      </c>
      <c r="AF111" s="401">
        <v>2036</v>
      </c>
      <c r="AG111" s="401">
        <v>366</v>
      </c>
      <c r="AH111" s="42">
        <v>-9</v>
      </c>
      <c r="AV111" s="272"/>
      <c r="AW111" s="39"/>
      <c r="AX111" s="43" t="s">
        <v>3675</v>
      </c>
      <c r="AY111" s="259">
        <f ca="1">AW102+AY109</f>
        <v>6</v>
      </c>
      <c r="AZ111" s="39"/>
      <c r="BA111" s="39"/>
      <c r="BB111" s="39"/>
      <c r="BC111" s="39"/>
      <c r="BD111" s="39"/>
      <c r="BE111" s="39" t="s">
        <v>2764</v>
      </c>
      <c r="BF111" s="39"/>
      <c r="BG111" s="39">
        <f ca="1">BG109*60</f>
        <v>23.787001216321215</v>
      </c>
      <c r="BH111" s="272"/>
      <c r="BZ111" s="1" t="s">
        <v>3513</v>
      </c>
      <c r="CA111" s="421">
        <f>CA110/15</f>
        <v>0.40615333333333342</v>
      </c>
    </row>
    <row r="112" spans="1:79">
      <c r="U112" s="1" t="s">
        <v>3901</v>
      </c>
      <c r="V112" s="1">
        <f ca="1">IF(V95=-1,1,0)</f>
        <v>0</v>
      </c>
      <c r="AF112" s="42">
        <v>2037</v>
      </c>
      <c r="AG112" s="42">
        <v>365</v>
      </c>
      <c r="AH112" s="42">
        <v>-5</v>
      </c>
      <c r="AV112" s="272"/>
      <c r="AW112" s="39"/>
      <c r="AX112" s="191" t="s">
        <v>3678</v>
      </c>
      <c r="AY112" s="558">
        <f ca="1">IF(AY111&gt;24,0,AY111)</f>
        <v>6</v>
      </c>
      <c r="AZ112" s="39"/>
      <c r="BA112" s="39"/>
      <c r="BB112" s="39"/>
      <c r="BC112" s="39"/>
      <c r="BD112" s="39"/>
      <c r="BE112" s="39" t="s">
        <v>2777</v>
      </c>
      <c r="BF112" s="39"/>
      <c r="BG112" s="39">
        <f ca="1">BG110+1</f>
        <v>15</v>
      </c>
      <c r="BH112" s="272"/>
      <c r="BZ112" s="1" t="s">
        <v>3516</v>
      </c>
      <c r="CA112" s="335">
        <f>CA111/24*CA106</f>
        <v>1.1089318312091118E-3</v>
      </c>
    </row>
    <row r="113" spans="21:79">
      <c r="U113" s="1" t="s">
        <v>2736</v>
      </c>
      <c r="V113" s="87">
        <f ca="1">V111+V112</f>
        <v>0</v>
      </c>
      <c r="AF113" s="519">
        <v>2038</v>
      </c>
      <c r="AG113" s="519">
        <v>365</v>
      </c>
      <c r="AH113" s="519">
        <v>0</v>
      </c>
      <c r="AV113" s="272"/>
      <c r="AW113" s="39"/>
      <c r="AX113" s="39"/>
      <c r="AY113" s="39"/>
      <c r="AZ113" s="39"/>
      <c r="BA113" s="39"/>
      <c r="BB113" s="39"/>
      <c r="BC113" s="39"/>
      <c r="BD113" s="39"/>
      <c r="BE113" s="39" t="s">
        <v>2776</v>
      </c>
      <c r="BF113" s="39"/>
      <c r="BG113" s="39">
        <f ca="1">IF(BG111&gt;59.999999,BG112,BG110)</f>
        <v>14</v>
      </c>
      <c r="BH113" s="272"/>
      <c r="BZ113" s="1" t="s">
        <v>3523</v>
      </c>
      <c r="CA113" s="433">
        <f>CA111-CA112</f>
        <v>0.40504440150212428</v>
      </c>
    </row>
    <row r="114" spans="21:79">
      <c r="U114" s="1" t="s">
        <v>3906</v>
      </c>
      <c r="V114" s="74">
        <f ca="1">IF(V113=2,V91,V76)</f>
        <v>2</v>
      </c>
      <c r="AF114" s="42">
        <v>2039</v>
      </c>
      <c r="AG114" s="42">
        <v>365</v>
      </c>
      <c r="AH114" s="42">
        <v>2</v>
      </c>
      <c r="AV114" s="272"/>
      <c r="AW114" s="39"/>
      <c r="AX114" s="39"/>
      <c r="AY114" s="39"/>
      <c r="AZ114" s="39"/>
      <c r="BA114" s="39"/>
      <c r="BB114" s="39"/>
      <c r="BC114" s="39"/>
      <c r="BD114" s="39"/>
      <c r="BE114" s="39" t="s">
        <v>2764</v>
      </c>
      <c r="BF114" s="39"/>
      <c r="BG114" s="39"/>
      <c r="BH114" s="272"/>
      <c r="BZ114" s="1" t="s">
        <v>3529</v>
      </c>
      <c r="CA114" s="59">
        <f ca="1">CA105-CA113</f>
        <v>1.6263308261845788</v>
      </c>
    </row>
    <row r="115" spans="21:79">
      <c r="AF115" s="407">
        <v>2040</v>
      </c>
      <c r="AG115" s="407">
        <v>366</v>
      </c>
      <c r="AH115" s="70">
        <v>2</v>
      </c>
      <c r="AV115" s="272"/>
      <c r="AW115" s="39"/>
      <c r="AX115" s="39"/>
      <c r="AY115" s="39"/>
      <c r="AZ115" s="39"/>
      <c r="BA115" s="39"/>
      <c r="BB115" s="39" t="s">
        <v>2778</v>
      </c>
      <c r="BC115" s="39"/>
      <c r="BD115" s="39"/>
      <c r="BE115" s="39"/>
      <c r="BF115" s="39"/>
      <c r="BG115" s="39">
        <f ca="1">IF(BG111&lt;0.000001,0,BG111)</f>
        <v>23.787001216321215</v>
      </c>
      <c r="BH115" s="272"/>
      <c r="BZ115" s="1" t="s">
        <v>3534</v>
      </c>
      <c r="CA115" s="1">
        <f ca="1">CA101-1</f>
        <v>2</v>
      </c>
    </row>
    <row r="116" spans="21:79">
      <c r="U116" s="63" t="s">
        <v>3912</v>
      </c>
      <c r="AF116" s="1" t="s">
        <v>2672</v>
      </c>
      <c r="AG116" s="334">
        <f ca="1">LOOKUP(AG91,(AF94:AF115),(AG94:AG115))</f>
        <v>366</v>
      </c>
      <c r="AH116" s="334">
        <f ca="1">LOOKUP(AG91,(AF94:AF115),(AH94:AH115))</f>
        <v>2</v>
      </c>
      <c r="AV116" s="272"/>
      <c r="AW116" s="39"/>
      <c r="AX116" s="39"/>
      <c r="AY116" s="39"/>
      <c r="AZ116" s="39"/>
      <c r="BA116" s="39"/>
      <c r="BB116" s="39" t="s">
        <v>2779</v>
      </c>
      <c r="BC116" s="39"/>
      <c r="BD116" s="39"/>
      <c r="BE116" s="39"/>
      <c r="BF116" s="39"/>
      <c r="BG116" s="39">
        <f ca="1">IF(BG115&gt;59.999999,0,BG115)</f>
        <v>23.787001216321215</v>
      </c>
      <c r="BH116" s="272"/>
      <c r="BZ116" s="1" t="s">
        <v>3539</v>
      </c>
      <c r="CA116" s="1">
        <f ca="1">CA115*CA106</f>
        <v>0.13105574552641208</v>
      </c>
    </row>
    <row r="117" spans="21:79">
      <c r="U117" s="175" t="s">
        <v>2762</v>
      </c>
      <c r="V117" s="73">
        <f ca="1">V75</f>
        <v>2020</v>
      </c>
      <c r="AV117" s="272"/>
      <c r="AW117" s="39"/>
      <c r="AX117" s="39"/>
      <c r="AY117" s="39"/>
      <c r="AZ117" s="39"/>
      <c r="BA117" s="39"/>
      <c r="BB117" s="39"/>
      <c r="BC117" s="39"/>
      <c r="BD117" s="39"/>
      <c r="BE117" s="39" t="s">
        <v>2780</v>
      </c>
      <c r="BF117" s="39"/>
      <c r="BG117" s="274">
        <f ca="1">BC108</f>
        <v>6</v>
      </c>
      <c r="BH117" s="272"/>
      <c r="BZ117" s="1" t="s">
        <v>3546</v>
      </c>
      <c r="CA117" s="1">
        <f ca="1">CA116+CA114</f>
        <v>1.7573865717109909</v>
      </c>
    </row>
    <row r="118" spans="21:79">
      <c r="U118" s="43" t="s">
        <v>3403</v>
      </c>
      <c r="V118" s="73">
        <f ca="1">IF(V74=-1,V114,V76)</f>
        <v>2</v>
      </c>
      <c r="AV118" s="272"/>
      <c r="AW118" s="39"/>
      <c r="AX118" s="39"/>
      <c r="AY118" s="39"/>
      <c r="AZ118" s="39"/>
      <c r="BA118" s="39"/>
      <c r="BB118" s="39"/>
      <c r="BC118" s="39"/>
      <c r="BD118" s="39"/>
      <c r="BE118" s="39" t="s">
        <v>10</v>
      </c>
      <c r="BF118" s="39"/>
      <c r="BG118" s="274">
        <f ca="1">BG113</f>
        <v>14</v>
      </c>
      <c r="BH118" s="272"/>
      <c r="BZ118" s="1" t="s">
        <v>3551</v>
      </c>
      <c r="CA118" s="82">
        <f ca="1">CA98-CA117</f>
        <v>15.542314935693224</v>
      </c>
    </row>
    <row r="119" spans="21:79">
      <c r="U119" s="43" t="s">
        <v>3417</v>
      </c>
      <c r="V119" s="73">
        <f ca="1">IF(V74=-1,V107,V77)</f>
        <v>3</v>
      </c>
      <c r="AF119" s="1" t="s">
        <v>3699</v>
      </c>
      <c r="AV119" s="272"/>
      <c r="AW119" s="39"/>
      <c r="AX119" s="39"/>
      <c r="AY119" s="39"/>
      <c r="AZ119" s="39"/>
      <c r="BA119" s="39"/>
      <c r="BB119" s="39"/>
      <c r="BC119" s="39"/>
      <c r="BD119" s="39"/>
      <c r="BE119" s="39" t="s">
        <v>2731</v>
      </c>
      <c r="BF119" s="39"/>
      <c r="BG119" s="274">
        <f ca="1">BG116</f>
        <v>23.787001216321215</v>
      </c>
      <c r="BH119" s="272"/>
      <c r="BZ119" s="335" t="s">
        <v>3555</v>
      </c>
      <c r="CA119" s="1">
        <f>24-CA106</f>
        <v>23.934472127236795</v>
      </c>
    </row>
    <row r="120" spans="21:79">
      <c r="U120" s="43" t="s">
        <v>3404</v>
      </c>
      <c r="V120" s="73">
        <f ca="1">IF(V74=-1,V96,V78)</f>
        <v>17</v>
      </c>
      <c r="AH120" s="1">
        <f ca="1">IF(AB18=1,AG36,AG60)</f>
        <v>31</v>
      </c>
      <c r="AV120" s="272"/>
      <c r="AW120" s="39"/>
      <c r="AX120" s="39"/>
      <c r="AY120" s="39"/>
      <c r="AZ120" s="39"/>
      <c r="BA120" s="39"/>
      <c r="BB120" s="39"/>
      <c r="BC120" s="39"/>
      <c r="BD120" s="39"/>
      <c r="BE120" s="39" t="s">
        <v>2781</v>
      </c>
      <c r="BF120" s="39"/>
      <c r="BG120" s="39"/>
      <c r="BH120" s="272"/>
      <c r="BZ120" s="1" t="s">
        <v>3560</v>
      </c>
      <c r="CA120" s="1">
        <f ca="1">IF(CA118&lt;0,CA119,0)</f>
        <v>0</v>
      </c>
    </row>
    <row r="121" spans="21:79">
      <c r="U121" s="43" t="s">
        <v>10</v>
      </c>
      <c r="V121" s="73">
        <f ca="1">V79</f>
        <v>59</v>
      </c>
      <c r="AH121" s="1">
        <f ca="1">V131-1</f>
        <v>2</v>
      </c>
      <c r="AV121" s="272"/>
      <c r="AW121" s="39"/>
      <c r="AX121" s="39"/>
      <c r="AY121" s="39"/>
      <c r="AZ121" s="39"/>
      <c r="BA121" s="39"/>
      <c r="BB121" s="39"/>
      <c r="BC121" s="39"/>
      <c r="BD121" s="39"/>
      <c r="BE121" s="39"/>
      <c r="BF121" s="39"/>
      <c r="BG121" s="282">
        <f ca="1">BG117*-1</f>
        <v>-6</v>
      </c>
      <c r="BH121" s="272"/>
      <c r="BZ121" s="1" t="s">
        <v>3564</v>
      </c>
      <c r="CA121" s="3">
        <f ca="1">CA118+CA120</f>
        <v>15.542314935693224</v>
      </c>
    </row>
    <row r="122" spans="21:79">
      <c r="U122" s="191" t="s">
        <v>2731</v>
      </c>
      <c r="V122" s="73">
        <f ca="1">V80</f>
        <v>20</v>
      </c>
      <c r="AH122" s="1">
        <f ca="1">AH120+AH121</f>
        <v>33</v>
      </c>
      <c r="AV122" s="272"/>
      <c r="AW122" s="39"/>
      <c r="AX122" s="39"/>
      <c r="AY122" s="39"/>
      <c r="AZ122" s="39"/>
      <c r="BA122" s="39"/>
      <c r="BB122" s="39"/>
      <c r="BC122" s="39"/>
      <c r="BD122" s="39"/>
      <c r="BE122" s="39"/>
      <c r="BF122" s="39"/>
      <c r="BG122" s="282">
        <f ca="1">BG118*-1</f>
        <v>-14</v>
      </c>
      <c r="BH122" s="272"/>
      <c r="BZ122" s="63" t="s">
        <v>3568</v>
      </c>
    </row>
    <row r="123" spans="21:79">
      <c r="U123" s="63" t="s">
        <v>3908</v>
      </c>
      <c r="AE123" s="1" t="s">
        <v>3700</v>
      </c>
      <c r="AV123" s="270"/>
      <c r="AW123" s="39"/>
      <c r="AX123" s="39"/>
      <c r="AY123" s="39"/>
      <c r="AZ123" s="39"/>
      <c r="BA123" s="39"/>
      <c r="BB123" s="39"/>
      <c r="BC123" s="39"/>
      <c r="BD123" s="39"/>
      <c r="BE123" s="39"/>
      <c r="BF123" s="39"/>
      <c r="BG123" s="282">
        <f ca="1">BG119*-1</f>
        <v>-23.787001216321215</v>
      </c>
      <c r="BH123" s="270"/>
    </row>
    <row r="124" spans="21:79">
      <c r="U124" s="1" t="s">
        <v>3909</v>
      </c>
      <c r="V124" s="1">
        <f ca="1">V122/60</f>
        <v>0.33333333333333331</v>
      </c>
      <c r="AE124" s="1" t="s">
        <v>3701</v>
      </c>
      <c r="AH124" s="1">
        <f ca="1">AH122/AG116*AH116</f>
        <v>0.18032786885245902</v>
      </c>
      <c r="AV124" s="270"/>
      <c r="AW124" s="270"/>
      <c r="AX124" s="270"/>
      <c r="AY124" s="270"/>
      <c r="AZ124" s="270"/>
      <c r="BA124" s="270"/>
      <c r="BB124" s="270"/>
      <c r="BC124" s="270"/>
      <c r="BD124" s="270"/>
      <c r="BE124" s="270"/>
      <c r="BF124" s="270"/>
      <c r="BG124" s="272"/>
      <c r="BH124" s="270"/>
      <c r="BZ124" s="1" t="s">
        <v>3476</v>
      </c>
      <c r="CA124" s="61">
        <f ca="1">CA102</f>
        <v>17.988888888888887</v>
      </c>
    </row>
    <row r="125" spans="21:79">
      <c r="U125" s="1" t="s">
        <v>3910</v>
      </c>
      <c r="V125" s="1">
        <f ca="1">(V121+V124)/60</f>
        <v>0.98888888888888893</v>
      </c>
      <c r="Z125" s="61">
        <v>0</v>
      </c>
      <c r="AE125" s="1" t="s">
        <v>3702</v>
      </c>
      <c r="AH125" s="72">
        <f ca="1">AH124/3600</f>
        <v>5.0091074681238616E-5</v>
      </c>
      <c r="BZ125" s="1" t="s">
        <v>10</v>
      </c>
      <c r="CA125" s="61">
        <f>CA104</f>
        <v>0</v>
      </c>
    </row>
    <row r="126" spans="21:79">
      <c r="U126" s="1" t="s">
        <v>3911</v>
      </c>
      <c r="V126" s="82">
        <f ca="1">V120+V125</f>
        <v>17.988888888888887</v>
      </c>
      <c r="BZ126" s="1" t="s">
        <v>3577</v>
      </c>
      <c r="CA126" s="1">
        <f ca="1">(CA104/60)+CA102</f>
        <v>17.988888888888887</v>
      </c>
    </row>
    <row r="127" spans="21:79">
      <c r="AE127" s="520" t="s">
        <v>3703</v>
      </c>
      <c r="BZ127" s="1" t="s">
        <v>3580</v>
      </c>
      <c r="CA127" s="480">
        <f ca="1">CA126-CA121</f>
        <v>2.4465739531956636</v>
      </c>
    </row>
    <row r="128" spans="21:79">
      <c r="U128" s="63" t="s">
        <v>3907</v>
      </c>
      <c r="BZ128" s="335" t="s">
        <v>3582</v>
      </c>
      <c r="CA128" s="335">
        <f ca="1">IF(CA127&lt;0,2,1)</f>
        <v>1</v>
      </c>
    </row>
    <row r="129" spans="21:93">
      <c r="U129" s="175" t="s">
        <v>2762</v>
      </c>
      <c r="V129" s="91">
        <f ca="1">V117</f>
        <v>2020</v>
      </c>
      <c r="AE129" s="1" t="s">
        <v>3704</v>
      </c>
      <c r="BZ129" s="1" t="s">
        <v>3585</v>
      </c>
      <c r="CA129" s="433">
        <f ca="1">CA127+24</f>
        <v>26.446573953195664</v>
      </c>
    </row>
    <row r="130" spans="21:93">
      <c r="U130" s="43" t="s">
        <v>3403</v>
      </c>
      <c r="V130" s="91">
        <f ca="1">V118</f>
        <v>2</v>
      </c>
      <c r="AE130" s="1" t="s">
        <v>3705</v>
      </c>
      <c r="BZ130" s="1" t="s">
        <v>3587</v>
      </c>
      <c r="CA130" s="82">
        <f ca="1">IF(CA128=2,CA129,CA127)</f>
        <v>2.4465739531956636</v>
      </c>
    </row>
    <row r="131" spans="21:93">
      <c r="U131" s="43" t="s">
        <v>3417</v>
      </c>
      <c r="V131" s="91">
        <f ca="1">V119</f>
        <v>3</v>
      </c>
      <c r="AE131" s="1" t="s">
        <v>3706</v>
      </c>
      <c r="BZ131" s="1" t="s">
        <v>3590</v>
      </c>
      <c r="CA131" s="1">
        <f ca="1">CA127*4/1440</f>
        <v>6.7960387588768432E-3</v>
      </c>
    </row>
    <row r="132" spans="21:93">
      <c r="U132" s="191" t="s">
        <v>3404</v>
      </c>
      <c r="V132" s="91">
        <f ca="1">V126</f>
        <v>17.988888888888887</v>
      </c>
      <c r="AE132" s="1" t="s">
        <v>3707</v>
      </c>
      <c r="BZ132" s="1" t="s">
        <v>3593</v>
      </c>
      <c r="CA132" s="3">
        <f ca="1">CA131+CA130</f>
        <v>2.4533699919545406</v>
      </c>
      <c r="CC132" s="271" t="s">
        <v>2766</v>
      </c>
      <c r="CD132" s="272"/>
      <c r="CE132" s="272"/>
      <c r="CF132" s="272"/>
      <c r="CG132" s="272"/>
      <c r="CH132" s="272"/>
      <c r="CI132" s="272"/>
      <c r="CJ132" s="272"/>
      <c r="CK132" s="272"/>
      <c r="CL132" s="272"/>
      <c r="CM132" s="272"/>
      <c r="CN132" s="272"/>
      <c r="CO132" s="273" t="s">
        <v>2767</v>
      </c>
    </row>
    <row r="133" spans="21:93">
      <c r="AE133" s="1" t="s">
        <v>3708</v>
      </c>
      <c r="BZ133" s="63" t="s">
        <v>3598</v>
      </c>
      <c r="CA133" s="86"/>
      <c r="CC133" s="272"/>
      <c r="CD133" s="39"/>
      <c r="CE133" s="39" t="s">
        <v>2679</v>
      </c>
      <c r="CF133" s="39" t="b">
        <f ca="1">ISNUMBER(CD141)</f>
        <v>1</v>
      </c>
      <c r="CG133" s="39"/>
      <c r="CH133" s="39" t="s">
        <v>2665</v>
      </c>
      <c r="CI133" s="68">
        <f ca="1">CF139</f>
        <v>7.8377311030656536</v>
      </c>
      <c r="CJ133" s="39"/>
      <c r="CK133" s="39"/>
      <c r="CL133" s="39" t="s">
        <v>2665</v>
      </c>
      <c r="CM133" s="68">
        <f ca="1">CK158</f>
        <v>50.263866183939214</v>
      </c>
      <c r="CN133" s="39"/>
      <c r="CO133" s="272"/>
    </row>
    <row r="134" spans="21:93">
      <c r="AE134" s="1" t="s">
        <v>3709</v>
      </c>
      <c r="BZ134" s="1" t="s">
        <v>3601</v>
      </c>
      <c r="CA134" s="60" t="e">
        <f>#REF!</f>
        <v>#REF!</v>
      </c>
      <c r="CC134" s="272"/>
      <c r="CD134" s="39"/>
      <c r="CE134" s="39" t="b">
        <v>0</v>
      </c>
      <c r="CF134" s="274">
        <f ca="1">IF(CF133=CE134,0,CD141)</f>
        <v>7.8377311030656536</v>
      </c>
      <c r="CG134" s="39"/>
      <c r="CH134" s="39">
        <v>90</v>
      </c>
      <c r="CI134" s="39">
        <f ca="1">IF(CH134&gt;CI133,CI133,-1)</f>
        <v>7.8377311030656536</v>
      </c>
      <c r="CJ134" s="39">
        <f ca="1">IF(CI134=-1,10,0)</f>
        <v>0</v>
      </c>
      <c r="CK134" s="39"/>
      <c r="CL134" s="39">
        <v>90</v>
      </c>
      <c r="CM134" s="39">
        <f ca="1">IF(CL134&gt;CM133,CM133,-1)</f>
        <v>50.263866183939214</v>
      </c>
      <c r="CN134" s="39">
        <f ca="1">IF(CM134=-1,10,0)</f>
        <v>0</v>
      </c>
      <c r="CO134" s="272"/>
    </row>
    <row r="135" spans="21:93">
      <c r="AE135" s="1" t="s">
        <v>3710</v>
      </c>
      <c r="BZ135" s="62" t="s">
        <v>3604</v>
      </c>
      <c r="CA135" s="86">
        <f>50.26/15</f>
        <v>3.3506666666666667</v>
      </c>
      <c r="CC135" s="272"/>
      <c r="CD135" s="39"/>
      <c r="CE135" s="39" t="s">
        <v>2768</v>
      </c>
      <c r="CF135" s="86">
        <f ca="1">CF134*-1</f>
        <v>-7.8377311030656536</v>
      </c>
      <c r="CG135" s="39"/>
      <c r="CH135" s="39">
        <v>80</v>
      </c>
      <c r="CI135" s="39">
        <f t="shared" ref="CI135:CI136" ca="1" si="36">IF(CH135&gt;CI134,CI134,-1)</f>
        <v>7.8377311030656536</v>
      </c>
      <c r="CJ135" s="39">
        <f t="shared" ref="CJ135:CJ136" ca="1" si="37">IF(CI135=-1,10,0)</f>
        <v>0</v>
      </c>
      <c r="CK135" s="39"/>
      <c r="CL135" s="39">
        <v>80</v>
      </c>
      <c r="CM135" s="39">
        <f t="shared" ref="CM135:CM136" ca="1" si="38">IF(CL135&gt;CM134,CM134,-1)</f>
        <v>50.263866183939214</v>
      </c>
      <c r="CN135" s="39">
        <f t="shared" ref="CN135:CN136" ca="1" si="39">IF(CM135=-1,10,0)</f>
        <v>0</v>
      </c>
      <c r="CO135" s="272"/>
    </row>
    <row r="136" spans="21:93">
      <c r="AE136" s="1" t="s">
        <v>3711</v>
      </c>
      <c r="BZ136" s="62" t="s">
        <v>3606</v>
      </c>
      <c r="CA136" s="86">
        <f>CA135/3600</f>
        <v>9.3074074074074077E-4</v>
      </c>
      <c r="CC136" s="272"/>
      <c r="CD136" s="39"/>
      <c r="CE136" s="39" t="s">
        <v>2769</v>
      </c>
      <c r="CF136" s="80">
        <f ca="1">IF(CF135&lt;0,CF134,CF135)</f>
        <v>7.8377311030656536</v>
      </c>
      <c r="CG136" s="39"/>
      <c r="CH136" s="39">
        <v>70</v>
      </c>
      <c r="CI136" s="39">
        <f t="shared" ca="1" si="36"/>
        <v>7.8377311030656536</v>
      </c>
      <c r="CJ136" s="39">
        <f t="shared" ca="1" si="37"/>
        <v>0</v>
      </c>
      <c r="CK136" s="39"/>
      <c r="CL136" s="39">
        <v>70</v>
      </c>
      <c r="CM136" s="39">
        <f t="shared" ca="1" si="38"/>
        <v>50.263866183939214</v>
      </c>
      <c r="CN136" s="39">
        <f t="shared" ca="1" si="39"/>
        <v>0</v>
      </c>
      <c r="CO136" s="272"/>
    </row>
    <row r="137" spans="21:93">
      <c r="AE137" s="1" t="s">
        <v>3712</v>
      </c>
      <c r="BZ137" s="1" t="s">
        <v>3610</v>
      </c>
      <c r="CA137" s="86" t="e">
        <f>CA136*CA134</f>
        <v>#REF!</v>
      </c>
      <c r="CC137" s="272"/>
      <c r="CD137" s="39"/>
      <c r="CE137" s="39"/>
      <c r="CF137" s="80"/>
      <c r="CG137" s="39"/>
      <c r="CH137" s="39"/>
      <c r="CI137" s="39"/>
      <c r="CJ137" s="39"/>
      <c r="CK137" s="39"/>
      <c r="CL137" s="39"/>
      <c r="CM137" s="39"/>
      <c r="CN137" s="39"/>
      <c r="CO137" s="272"/>
    </row>
    <row r="138" spans="21:93">
      <c r="AE138" s="1" t="s">
        <v>3713</v>
      </c>
      <c r="BZ138" s="1" t="s">
        <v>3598</v>
      </c>
      <c r="CA138" s="73" t="e">
        <f ca="1">CA137+CA132</f>
        <v>#REF!</v>
      </c>
      <c r="CC138" s="272"/>
      <c r="CD138" s="39"/>
      <c r="CE138" s="268" t="s">
        <v>2770</v>
      </c>
      <c r="CF138" s="268">
        <f ca="1">IF(CF134&lt;0,2,1)</f>
        <v>1</v>
      </c>
      <c r="CG138" s="39"/>
      <c r="CH138" s="39">
        <v>60</v>
      </c>
      <c r="CI138" s="39">
        <f ca="1">IF(CH138&gt;CI136,CI136,-1)</f>
        <v>7.8377311030656536</v>
      </c>
      <c r="CJ138" s="39">
        <f t="shared" ref="CJ138:CJ143" ca="1" si="40">IF(CI138=-1,10,0)</f>
        <v>0</v>
      </c>
      <c r="CK138" s="39"/>
      <c r="CL138" s="39">
        <v>60</v>
      </c>
      <c r="CM138" s="39">
        <f ca="1">IF(CL138&gt;CM136,CM136,-1)</f>
        <v>50.263866183939214</v>
      </c>
      <c r="CN138" s="39">
        <f t="shared" ref="CN138:CN143" ca="1" si="41">IF(CM138=-1,10,0)</f>
        <v>0</v>
      </c>
      <c r="CO138" s="272"/>
    </row>
    <row r="139" spans="21:93">
      <c r="AE139" s="1" t="s">
        <v>3714</v>
      </c>
      <c r="CC139" s="272"/>
      <c r="CD139" s="39"/>
      <c r="CE139" s="39" t="s">
        <v>2771</v>
      </c>
      <c r="CF139" s="275">
        <f ca="1">IF(CF136&gt;100,0,CF136)</f>
        <v>7.8377311030656536</v>
      </c>
      <c r="CG139" s="39"/>
      <c r="CH139" s="39">
        <v>50</v>
      </c>
      <c r="CI139" s="39">
        <f t="shared" ref="CI139:CI143" ca="1" si="42">IF(CH139&gt;CI138,CI138,-1)</f>
        <v>7.8377311030656536</v>
      </c>
      <c r="CJ139" s="39">
        <f t="shared" ca="1" si="40"/>
        <v>0</v>
      </c>
      <c r="CK139" s="39"/>
      <c r="CL139" s="39">
        <v>50</v>
      </c>
      <c r="CM139" s="39">
        <f t="shared" ref="CM139:CM143" ca="1" si="43">IF(CL139&gt;CM138,CM138,-1)</f>
        <v>-1</v>
      </c>
      <c r="CN139" s="39">
        <f t="shared" ca="1" si="41"/>
        <v>10</v>
      </c>
      <c r="CO139" s="272"/>
    </row>
    <row r="140" spans="21:93">
      <c r="AE140" s="1" t="s">
        <v>3715</v>
      </c>
      <c r="BZ140" s="1" t="s">
        <v>3620</v>
      </c>
      <c r="CA140" s="61">
        <f>CA107</f>
        <v>18.615638888888888</v>
      </c>
      <c r="CC140" s="272"/>
      <c r="CD140" s="276" t="s">
        <v>2772</v>
      </c>
      <c r="CE140" s="39"/>
      <c r="CF140" s="39"/>
      <c r="CG140" s="39"/>
      <c r="CH140" s="39">
        <v>40</v>
      </c>
      <c r="CI140" s="39">
        <f t="shared" ca="1" si="42"/>
        <v>7.8377311030656536</v>
      </c>
      <c r="CJ140" s="39">
        <f t="shared" ca="1" si="40"/>
        <v>0</v>
      </c>
      <c r="CK140" s="39"/>
      <c r="CL140" s="39">
        <v>40</v>
      </c>
      <c r="CM140" s="39">
        <f t="shared" ca="1" si="43"/>
        <v>-1</v>
      </c>
      <c r="CN140" s="39">
        <f t="shared" ca="1" si="41"/>
        <v>10</v>
      </c>
      <c r="CO140" s="272"/>
    </row>
    <row r="141" spans="21:93">
      <c r="AE141" s="1" t="s">
        <v>3716</v>
      </c>
      <c r="BZ141" s="1" t="s">
        <v>3622</v>
      </c>
      <c r="CA141" s="288">
        <f ca="1">CA132-CA140</f>
        <v>-16.162268896934346</v>
      </c>
      <c r="CC141" s="272"/>
      <c r="CD141" s="277">
        <f ca="1">CA144</f>
        <v>7.8377311030656536</v>
      </c>
      <c r="CE141" s="39"/>
      <c r="CF141" s="39"/>
      <c r="CG141" s="39"/>
      <c r="CH141" s="39">
        <v>30</v>
      </c>
      <c r="CI141" s="39">
        <f t="shared" ca="1" si="42"/>
        <v>7.8377311030656536</v>
      </c>
      <c r="CJ141" s="39">
        <f t="shared" ca="1" si="40"/>
        <v>0</v>
      </c>
      <c r="CK141" s="39"/>
      <c r="CL141" s="39">
        <v>30</v>
      </c>
      <c r="CM141" s="39">
        <f t="shared" ca="1" si="43"/>
        <v>-1</v>
      </c>
      <c r="CN141" s="39">
        <f t="shared" ca="1" si="41"/>
        <v>10</v>
      </c>
      <c r="CO141" s="272"/>
    </row>
    <row r="142" spans="21:93">
      <c r="AE142" s="1" t="s">
        <v>3717</v>
      </c>
      <c r="BZ142" s="1" t="s">
        <v>3625</v>
      </c>
      <c r="CA142" s="480">
        <f ca="1">24+CA141</f>
        <v>7.8377311030656536</v>
      </c>
      <c r="CC142" s="272"/>
      <c r="CD142" s="278" t="s">
        <v>2672</v>
      </c>
      <c r="CE142" s="39"/>
      <c r="CF142" s="39"/>
      <c r="CG142" s="39"/>
      <c r="CH142" s="39">
        <v>20</v>
      </c>
      <c r="CI142" s="39">
        <f t="shared" ca="1" si="42"/>
        <v>7.8377311030656536</v>
      </c>
      <c r="CJ142" s="39">
        <f t="shared" ca="1" si="40"/>
        <v>0</v>
      </c>
      <c r="CK142" s="39"/>
      <c r="CL142" s="39">
        <v>20</v>
      </c>
      <c r="CM142" s="39">
        <f t="shared" ca="1" si="43"/>
        <v>-1</v>
      </c>
      <c r="CN142" s="39">
        <f t="shared" ca="1" si="41"/>
        <v>10</v>
      </c>
      <c r="CO142" s="272"/>
    </row>
    <row r="143" spans="21:93">
      <c r="BZ143" s="1" t="s">
        <v>3628</v>
      </c>
      <c r="CA143" s="62">
        <f ca="1">IF(CA141&lt;0,CA142,CA141)</f>
        <v>7.8377311030656536</v>
      </c>
      <c r="CC143" s="272"/>
      <c r="CD143" s="73">
        <f ca="1">IF(CF138=1,CN166,CN170)</f>
        <v>7</v>
      </c>
      <c r="CE143" s="39"/>
      <c r="CF143" s="39"/>
      <c r="CG143" s="39"/>
      <c r="CH143" s="39">
        <v>10</v>
      </c>
      <c r="CI143" s="39">
        <f t="shared" ca="1" si="42"/>
        <v>7.8377311030656536</v>
      </c>
      <c r="CJ143" s="39">
        <f t="shared" ca="1" si="40"/>
        <v>0</v>
      </c>
      <c r="CK143" s="39"/>
      <c r="CL143" s="39">
        <v>10</v>
      </c>
      <c r="CM143" s="39">
        <f t="shared" ca="1" si="43"/>
        <v>-1</v>
      </c>
      <c r="CN143" s="39">
        <f t="shared" ca="1" si="41"/>
        <v>10</v>
      </c>
      <c r="CO143" s="272"/>
    </row>
    <row r="144" spans="21:93">
      <c r="AE144" s="1" t="s">
        <v>3718</v>
      </c>
      <c r="BZ144" s="1" t="s">
        <v>3631</v>
      </c>
      <c r="CA144" s="275">
        <f ca="1">CA143</f>
        <v>7.8377311030656536</v>
      </c>
      <c r="CC144" s="272"/>
      <c r="CD144" s="73">
        <f ca="1">IF(CF138=1,CN167,CN171)</f>
        <v>50</v>
      </c>
      <c r="CE144" s="39"/>
      <c r="CF144" s="39"/>
      <c r="CG144" s="39"/>
      <c r="CH144" s="39"/>
      <c r="CI144" s="39"/>
      <c r="CJ144" s="279">
        <f ca="1">SUM(CJ134:CJ143)</f>
        <v>0</v>
      </c>
      <c r="CK144" s="39"/>
      <c r="CL144" s="39"/>
      <c r="CM144" s="39"/>
      <c r="CN144" s="279">
        <f ca="1">SUM(CN134:CN143)</f>
        <v>50</v>
      </c>
      <c r="CO144" s="272"/>
    </row>
    <row r="145" spans="24:93">
      <c r="AE145" s="1" t="s">
        <v>3719</v>
      </c>
      <c r="BZ145" s="1" t="s">
        <v>3635</v>
      </c>
      <c r="CA145" s="1">
        <f ca="1">12-CA143</f>
        <v>4.1622688969343464</v>
      </c>
      <c r="CC145" s="272"/>
      <c r="CD145" s="73">
        <f ca="1">IF(CF138=1,CN168,CN172)</f>
        <v>15.831971036352854</v>
      </c>
      <c r="CE145" s="39"/>
      <c r="CF145" s="39"/>
      <c r="CG145" s="39"/>
      <c r="CH145" s="39"/>
      <c r="CI145" s="39"/>
      <c r="CJ145" s="280">
        <f ca="1">CI133-CJ144</f>
        <v>7.8377311030656536</v>
      </c>
      <c r="CK145" s="39"/>
      <c r="CL145" s="39"/>
      <c r="CM145" s="39"/>
      <c r="CN145" s="280">
        <f ca="1">CM133-CN144</f>
        <v>0.26386618393921424</v>
      </c>
      <c r="CO145" s="272"/>
    </row>
    <row r="146" spans="24:93">
      <c r="X146" s="86"/>
      <c r="AE146" s="1" t="s">
        <v>3720</v>
      </c>
      <c r="BZ146" s="1" t="s">
        <v>3636</v>
      </c>
      <c r="CA146" s="82" t="str">
        <f ca="1">IF(CA145&lt;0,BZ148,BZ149)</f>
        <v xml:space="preserve">Δυτικά </v>
      </c>
      <c r="CC146" s="272"/>
      <c r="CD146" s="39"/>
      <c r="CE146" s="39"/>
      <c r="CF146" s="39"/>
      <c r="CG146" s="39"/>
      <c r="CH146" s="39"/>
      <c r="CI146" s="68">
        <f ca="1">CJ145</f>
        <v>7.8377311030656536</v>
      </c>
      <c r="CJ146" s="39"/>
      <c r="CK146" s="39"/>
      <c r="CL146" s="39"/>
      <c r="CM146" s="68">
        <f ca="1">CN145</f>
        <v>0.26386618393921424</v>
      </c>
      <c r="CN146" s="39"/>
      <c r="CO146" s="272"/>
    </row>
    <row r="147" spans="24:93">
      <c r="AE147" s="1" t="s">
        <v>3721</v>
      </c>
      <c r="BZ147" s="1" t="s">
        <v>3638</v>
      </c>
      <c r="CA147" s="88" t="str">
        <f ca="1">IF(CA172=0,CA146,"")</f>
        <v xml:space="preserve">Δυτικά </v>
      </c>
      <c r="CC147" s="272"/>
      <c r="CD147" s="91">
        <f ca="1">IF(CF139=0,0,CD143)</f>
        <v>7</v>
      </c>
      <c r="CE147" s="39"/>
      <c r="CF147" s="39"/>
      <c r="CG147" s="39"/>
      <c r="CH147" s="39">
        <v>9</v>
      </c>
      <c r="CI147" s="39">
        <f ca="1">IF(CH147&gt;CI146,CI146,-1)</f>
        <v>7.8377311030656536</v>
      </c>
      <c r="CJ147" s="39">
        <f ca="1">IF(CI147=-1,1,0)</f>
        <v>0</v>
      </c>
      <c r="CK147" s="39"/>
      <c r="CL147" s="39">
        <v>9</v>
      </c>
      <c r="CM147" s="39">
        <f ca="1">IF(CL147&gt;CM146,CM146,-1)</f>
        <v>0.26386618393921424</v>
      </c>
      <c r="CN147" s="39">
        <f ca="1">IF(CM147=-1,1,0)</f>
        <v>0</v>
      </c>
      <c r="CO147" s="272"/>
    </row>
    <row r="148" spans="24:93">
      <c r="AE148" s="1" t="s">
        <v>3434</v>
      </c>
      <c r="BZ148" s="1" t="s">
        <v>3641</v>
      </c>
      <c r="CC148" s="272"/>
      <c r="CD148" s="91">
        <f ca="1">IF(CF139=0,0,CD144)</f>
        <v>50</v>
      </c>
      <c r="CE148" s="39"/>
      <c r="CF148" s="39"/>
      <c r="CG148" s="39"/>
      <c r="CH148" s="39">
        <v>8</v>
      </c>
      <c r="CI148" s="39">
        <f t="shared" ref="CI148:CI155" ca="1" si="44">IF(CH148&gt;CI147,CI147,-1)</f>
        <v>7.8377311030656536</v>
      </c>
      <c r="CJ148" s="39">
        <f t="shared" ref="CJ148:CJ155" ca="1" si="45">IF(CI148=-1,1,0)</f>
        <v>0</v>
      </c>
      <c r="CK148" s="39"/>
      <c r="CL148" s="39">
        <v>8</v>
      </c>
      <c r="CM148" s="39">
        <f t="shared" ref="CM148:CM155" ca="1" si="46">IF(CL148&gt;CM147,CM147,-1)</f>
        <v>0.26386618393921424</v>
      </c>
      <c r="CN148" s="39">
        <f t="shared" ref="CN148:CN155" ca="1" si="47">IF(CM148=-1,1,0)</f>
        <v>0</v>
      </c>
      <c r="CO148" s="272"/>
    </row>
    <row r="149" spans="24:93">
      <c r="AE149" s="1" t="s">
        <v>3438</v>
      </c>
      <c r="BZ149" s="1" t="s">
        <v>3646</v>
      </c>
      <c r="CC149" s="272"/>
      <c r="CD149" s="91">
        <f ca="1">IF(CF139=0,0,CD145)</f>
        <v>15.831971036352854</v>
      </c>
      <c r="CE149" s="39"/>
      <c r="CF149" s="39"/>
      <c r="CG149" s="39"/>
      <c r="CH149" s="39">
        <v>7</v>
      </c>
      <c r="CI149" s="39">
        <f t="shared" ca="1" si="44"/>
        <v>-1</v>
      </c>
      <c r="CJ149" s="39">
        <f t="shared" ca="1" si="45"/>
        <v>1</v>
      </c>
      <c r="CK149" s="39"/>
      <c r="CL149" s="39">
        <v>7</v>
      </c>
      <c r="CM149" s="39">
        <f t="shared" ca="1" si="46"/>
        <v>0.26386618393921424</v>
      </c>
      <c r="CN149" s="39">
        <f t="shared" ca="1" si="47"/>
        <v>0</v>
      </c>
      <c r="CO149" s="272"/>
    </row>
    <row r="150" spans="24:93">
      <c r="AE150" s="1" t="s">
        <v>3722</v>
      </c>
      <c r="BZ150" s="1" t="s">
        <v>3648</v>
      </c>
      <c r="CA150" s="1">
        <f ca="1">IF(CA146=BZ148,CA141,CA144)</f>
        <v>7.8377311030656536</v>
      </c>
      <c r="CC150" s="272"/>
      <c r="CD150" s="39" t="s">
        <v>2773</v>
      </c>
      <c r="CE150" s="39"/>
      <c r="CF150" s="39"/>
      <c r="CG150" s="39"/>
      <c r="CH150" s="39">
        <v>6</v>
      </c>
      <c r="CI150" s="39">
        <f t="shared" ca="1" si="44"/>
        <v>-1</v>
      </c>
      <c r="CJ150" s="39">
        <f t="shared" ca="1" si="45"/>
        <v>1</v>
      </c>
      <c r="CK150" s="39"/>
      <c r="CL150" s="39">
        <v>6</v>
      </c>
      <c r="CM150" s="39">
        <f t="shared" ca="1" si="46"/>
        <v>0.26386618393921424</v>
      </c>
      <c r="CN150" s="39">
        <f t="shared" ca="1" si="47"/>
        <v>0</v>
      </c>
      <c r="CO150" s="272"/>
    </row>
    <row r="151" spans="24:93">
      <c r="AE151" s="1" t="s">
        <v>3723</v>
      </c>
      <c r="BZ151" s="1" t="s">
        <v>3650</v>
      </c>
      <c r="CA151" s="1">
        <f ca="1">-60*CA150</f>
        <v>-470.26386618393923</v>
      </c>
      <c r="CC151" s="272"/>
      <c r="CD151" s="93">
        <f ca="1">IF(CF153=4,"  -0",CD147)</f>
        <v>7</v>
      </c>
      <c r="CE151" s="39" t="s">
        <v>2774</v>
      </c>
      <c r="CF151" s="39">
        <f ca="1">IF(CD147=0,2,0)</f>
        <v>0</v>
      </c>
      <c r="CG151" s="39"/>
      <c r="CH151" s="39">
        <v>5</v>
      </c>
      <c r="CI151" s="39">
        <f t="shared" ca="1" si="44"/>
        <v>-1</v>
      </c>
      <c r="CJ151" s="39">
        <f t="shared" ca="1" si="45"/>
        <v>1</v>
      </c>
      <c r="CK151" s="39"/>
      <c r="CL151" s="39">
        <v>5</v>
      </c>
      <c r="CM151" s="39">
        <f t="shared" ca="1" si="46"/>
        <v>0.26386618393921424</v>
      </c>
      <c r="CN151" s="39">
        <f t="shared" ca="1" si="47"/>
        <v>0</v>
      </c>
      <c r="CO151" s="272"/>
    </row>
    <row r="152" spans="24:93">
      <c r="AE152" s="1" t="s">
        <v>3724</v>
      </c>
      <c r="BZ152" s="1" t="s">
        <v>3653</v>
      </c>
      <c r="CA152" s="1">
        <f ca="1">IF(CA151&lt;0,0,CA151)</f>
        <v>0</v>
      </c>
      <c r="CC152" s="272"/>
      <c r="CD152" s="93">
        <f ca="1">CN167</f>
        <v>50</v>
      </c>
      <c r="CE152" s="39"/>
      <c r="CF152" s="39">
        <f ca="1">CF138</f>
        <v>1</v>
      </c>
      <c r="CG152" s="39"/>
      <c r="CH152" s="39">
        <v>4</v>
      </c>
      <c r="CI152" s="39">
        <f t="shared" ca="1" si="44"/>
        <v>-1</v>
      </c>
      <c r="CJ152" s="39">
        <f t="shared" ca="1" si="45"/>
        <v>1</v>
      </c>
      <c r="CK152" s="39"/>
      <c r="CL152" s="39">
        <v>4</v>
      </c>
      <c r="CM152" s="39">
        <f t="shared" ca="1" si="46"/>
        <v>0.26386618393921424</v>
      </c>
      <c r="CN152" s="39">
        <f t="shared" ca="1" si="47"/>
        <v>0</v>
      </c>
      <c r="CO152" s="272"/>
    </row>
    <row r="153" spans="24:93">
      <c r="AE153" s="1" t="s">
        <v>3725</v>
      </c>
      <c r="BZ153" s="1" t="s">
        <v>3657</v>
      </c>
      <c r="CA153" s="1">
        <f ca="1">IF(CA152&gt;10,0,CA152)</f>
        <v>0</v>
      </c>
      <c r="CC153" s="272"/>
      <c r="CD153" s="93">
        <f ca="1">CN168</f>
        <v>15.831971036352854</v>
      </c>
      <c r="CE153" s="39"/>
      <c r="CF153" s="39">
        <f ca="1">CF152+CF151</f>
        <v>1</v>
      </c>
      <c r="CG153" s="39"/>
      <c r="CH153" s="39">
        <v>3</v>
      </c>
      <c r="CI153" s="39">
        <f t="shared" ca="1" si="44"/>
        <v>-1</v>
      </c>
      <c r="CJ153" s="39">
        <f t="shared" ca="1" si="45"/>
        <v>1</v>
      </c>
      <c r="CK153" s="39"/>
      <c r="CL153" s="39">
        <v>3</v>
      </c>
      <c r="CM153" s="39">
        <f t="shared" ca="1" si="46"/>
        <v>0.26386618393921424</v>
      </c>
      <c r="CN153" s="39">
        <f t="shared" ca="1" si="47"/>
        <v>0</v>
      </c>
      <c r="CO153" s="272"/>
    </row>
    <row r="154" spans="24:93">
      <c r="AE154" s="1" t="s">
        <v>3726</v>
      </c>
      <c r="BZ154" s="1" t="s">
        <v>3883</v>
      </c>
      <c r="CA154" s="82" t="str">
        <f ca="1">IF(CA153&gt;0,BZ154,"")</f>
        <v/>
      </c>
      <c r="CC154" s="272"/>
      <c r="CD154" s="39"/>
      <c r="CE154" s="39"/>
      <c r="CF154" s="39"/>
      <c r="CG154" s="39"/>
      <c r="CH154" s="39">
        <v>2</v>
      </c>
      <c r="CI154" s="39">
        <f t="shared" ca="1" si="44"/>
        <v>-1</v>
      </c>
      <c r="CJ154" s="39">
        <f t="shared" ca="1" si="45"/>
        <v>1</v>
      </c>
      <c r="CK154" s="39"/>
      <c r="CL154" s="39">
        <v>2</v>
      </c>
      <c r="CM154" s="39">
        <f t="shared" ca="1" si="46"/>
        <v>0.26386618393921424</v>
      </c>
      <c r="CN154" s="39">
        <f t="shared" ca="1" si="47"/>
        <v>0</v>
      </c>
      <c r="CO154" s="272"/>
    </row>
    <row r="155" spans="24:93">
      <c r="AE155" s="1" t="s">
        <v>3727</v>
      </c>
      <c r="CA155" s="82" t="str">
        <f ca="1">IF(CA153=0,"",CA153)</f>
        <v/>
      </c>
      <c r="CC155" s="272"/>
      <c r="CD155" s="39"/>
      <c r="CE155" s="39"/>
      <c r="CF155" s="39"/>
      <c r="CG155" s="39"/>
      <c r="CH155" s="39">
        <v>1</v>
      </c>
      <c r="CI155" s="39">
        <f t="shared" ca="1" si="44"/>
        <v>-1</v>
      </c>
      <c r="CJ155" s="39">
        <f t="shared" ca="1" si="45"/>
        <v>1</v>
      </c>
      <c r="CK155" s="39"/>
      <c r="CL155" s="39">
        <v>1</v>
      </c>
      <c r="CM155" s="39">
        <f t="shared" ca="1" si="46"/>
        <v>0.26386618393921424</v>
      </c>
      <c r="CN155" s="39">
        <f t="shared" ca="1" si="47"/>
        <v>0</v>
      </c>
      <c r="CO155" s="272"/>
    </row>
    <row r="156" spans="24:93">
      <c r="AE156" s="1" t="s">
        <v>3728</v>
      </c>
      <c r="BZ156" s="1" t="s">
        <v>3882</v>
      </c>
      <c r="CA156" s="82" t="str">
        <f ca="1">IF(CA153&gt;0,BZ156,"")</f>
        <v/>
      </c>
      <c r="CC156" s="272"/>
      <c r="CD156" s="39"/>
      <c r="CE156" s="39"/>
      <c r="CF156" s="39"/>
      <c r="CG156" s="39"/>
      <c r="CH156" s="39"/>
      <c r="CI156" s="39"/>
      <c r="CJ156" s="279">
        <f ca="1">SUM(CJ147:CJ155)</f>
        <v>7</v>
      </c>
      <c r="CK156" s="39"/>
      <c r="CL156" s="39"/>
      <c r="CM156" s="39"/>
      <c r="CN156" s="279">
        <f ca="1">SUM(CN147:CN155)</f>
        <v>0</v>
      </c>
      <c r="CO156" s="272"/>
    </row>
    <row r="157" spans="24:93">
      <c r="BZ157" s="1" t="s">
        <v>3672</v>
      </c>
      <c r="CA157" s="82" t="str">
        <f ca="1">IF(CA153&gt;0,BZ157,"")</f>
        <v/>
      </c>
      <c r="CC157" s="272"/>
      <c r="CD157" s="39"/>
      <c r="CE157" s="39"/>
      <c r="CF157" s="39"/>
      <c r="CG157" s="39"/>
      <c r="CJ157" s="82">
        <f ca="1">CJ156+CJ144</f>
        <v>7</v>
      </c>
      <c r="CO157" s="272"/>
    </row>
    <row r="158" spans="24:93">
      <c r="AE158" s="1" t="s">
        <v>3729</v>
      </c>
      <c r="CC158" s="272"/>
      <c r="CD158" s="39"/>
      <c r="CE158" s="39"/>
      <c r="CF158" s="39"/>
      <c r="CG158" s="39"/>
      <c r="CH158" s="39"/>
      <c r="CI158" s="39"/>
      <c r="CJ158" s="274">
        <f ca="1">CI146-CJ156</f>
        <v>0.83773110306565357</v>
      </c>
      <c r="CK158" s="281">
        <f ca="1">CJ158*60</f>
        <v>50.263866183939214</v>
      </c>
      <c r="CL158" s="39"/>
      <c r="CM158" s="39"/>
      <c r="CN158" s="280">
        <f ca="1">CM146-CN156</f>
        <v>0.26386618393921424</v>
      </c>
      <c r="CO158" s="272"/>
    </row>
    <row r="159" spans="24:93">
      <c r="AE159" s="1" t="s">
        <v>3730</v>
      </c>
      <c r="BZ159" s="86" t="s">
        <v>3679</v>
      </c>
      <c r="CA159" s="86"/>
      <c r="CC159" s="272"/>
      <c r="CD159" s="39"/>
      <c r="CE159" s="39"/>
      <c r="CF159" s="39"/>
      <c r="CG159" s="39"/>
      <c r="CH159" s="39" t="s">
        <v>2775</v>
      </c>
      <c r="CI159" s="39"/>
      <c r="CJ159" s="39"/>
      <c r="CK159" s="39"/>
      <c r="CL159" s="39" t="s">
        <v>2776</v>
      </c>
      <c r="CM159" s="39"/>
      <c r="CN159" s="39">
        <f ca="1">CM133-CN158</f>
        <v>50</v>
      </c>
      <c r="CO159" s="272"/>
    </row>
    <row r="160" spans="24:93">
      <c r="AE160" s="1" t="s">
        <v>3731</v>
      </c>
      <c r="CA160" s="88" t="str">
        <f ca="1">IF(CA172=0,CA154,"")</f>
        <v/>
      </c>
      <c r="CC160" s="272"/>
      <c r="CD160" s="39"/>
      <c r="CE160" s="39"/>
      <c r="CF160" s="39"/>
      <c r="CG160" s="39"/>
      <c r="CH160" s="39"/>
      <c r="CI160" s="39"/>
      <c r="CJ160" s="39"/>
      <c r="CK160" s="39"/>
      <c r="CL160" s="39" t="s">
        <v>2764</v>
      </c>
      <c r="CM160" s="39"/>
      <c r="CN160" s="39">
        <f ca="1">CN158*60</f>
        <v>15.831971036352854</v>
      </c>
      <c r="CO160" s="272"/>
    </row>
    <row r="161" spans="24:93">
      <c r="AE161" s="1" t="s">
        <v>3732</v>
      </c>
      <c r="CA161" s="88" t="str">
        <f ca="1">IF(CA172=0,CA155,"")</f>
        <v/>
      </c>
      <c r="CC161" s="272"/>
      <c r="CD161" s="39"/>
      <c r="CE161" s="39"/>
      <c r="CF161" s="39"/>
      <c r="CG161" s="39"/>
      <c r="CH161" s="39"/>
      <c r="CI161" s="39"/>
      <c r="CJ161" s="39"/>
      <c r="CK161" s="39"/>
      <c r="CL161" s="39" t="s">
        <v>2777</v>
      </c>
      <c r="CM161" s="39"/>
      <c r="CN161" s="39">
        <f ca="1">CN159+1</f>
        <v>51</v>
      </c>
      <c r="CO161" s="272"/>
    </row>
    <row r="162" spans="24:93">
      <c r="X162" s="521"/>
      <c r="AE162" s="1" t="s">
        <v>3733</v>
      </c>
      <c r="CA162" s="88" t="str">
        <f ca="1">IF(CA172=0,CA156,"")</f>
        <v/>
      </c>
      <c r="CC162" s="272"/>
      <c r="CD162" s="39"/>
      <c r="CE162" s="39"/>
      <c r="CF162" s="39"/>
      <c r="CG162" s="39"/>
      <c r="CH162" s="39"/>
      <c r="CI162" s="39"/>
      <c r="CJ162" s="39"/>
      <c r="CK162" s="39"/>
      <c r="CL162" s="39" t="s">
        <v>2776</v>
      </c>
      <c r="CM162" s="39"/>
      <c r="CN162" s="39">
        <f ca="1">IF(CN160&gt;59.999999,CN161,CN159)</f>
        <v>50</v>
      </c>
      <c r="CO162" s="272"/>
    </row>
    <row r="163" spans="24:93">
      <c r="AE163" s="1" t="s">
        <v>3734</v>
      </c>
      <c r="CA163" s="88" t="str">
        <f ca="1">IF(CA172=0,CA157," ")</f>
        <v/>
      </c>
      <c r="CC163" s="272"/>
      <c r="CD163" s="39"/>
      <c r="CE163" s="39"/>
      <c r="CF163" s="39"/>
      <c r="CG163" s="39"/>
      <c r="CH163" s="39"/>
      <c r="CI163" s="39"/>
      <c r="CJ163" s="39"/>
      <c r="CK163" s="39"/>
      <c r="CL163" s="39" t="s">
        <v>2764</v>
      </c>
      <c r="CM163" s="39"/>
      <c r="CN163" s="39"/>
      <c r="CO163" s="272"/>
    </row>
    <row r="164" spans="24:93">
      <c r="AE164" s="1" t="s">
        <v>3735</v>
      </c>
      <c r="CC164" s="272"/>
      <c r="CD164" s="39"/>
      <c r="CE164" s="39"/>
      <c r="CF164" s="39"/>
      <c r="CG164" s="39"/>
      <c r="CH164" s="39"/>
      <c r="CI164" s="39" t="s">
        <v>2778</v>
      </c>
      <c r="CJ164" s="39"/>
      <c r="CK164" s="39"/>
      <c r="CL164" s="39"/>
      <c r="CM164" s="39"/>
      <c r="CN164" s="39">
        <f ca="1">IF(CN160&lt;0.000001,0,CN160)</f>
        <v>15.831971036352854</v>
      </c>
      <c r="CO164" s="272"/>
    </row>
    <row r="165" spans="24:93">
      <c r="BZ165" s="490" t="s">
        <v>3688</v>
      </c>
      <c r="CA165" s="79"/>
      <c r="CC165" s="272"/>
      <c r="CD165" s="39"/>
      <c r="CE165" s="39"/>
      <c r="CF165" s="39"/>
      <c r="CG165" s="39"/>
      <c r="CH165" s="39"/>
      <c r="CI165" s="39" t="s">
        <v>2779</v>
      </c>
      <c r="CJ165" s="39"/>
      <c r="CK165" s="39"/>
      <c r="CL165" s="39"/>
      <c r="CM165" s="39"/>
      <c r="CN165" s="39">
        <f ca="1">IF(CN164&gt;59.999999,0,CN164)</f>
        <v>15.831971036352854</v>
      </c>
      <c r="CO165" s="272"/>
    </row>
    <row r="166" spans="24:93">
      <c r="BZ166" s="86" t="s">
        <v>9</v>
      </c>
      <c r="CA166" s="60">
        <f ca="1">CD147</f>
        <v>7</v>
      </c>
      <c r="CC166" s="272"/>
      <c r="CD166" s="39"/>
      <c r="CE166" s="39"/>
      <c r="CF166" s="39"/>
      <c r="CG166" s="39"/>
      <c r="CH166" s="39"/>
      <c r="CI166" s="39"/>
      <c r="CJ166" s="39"/>
      <c r="CK166" s="39"/>
      <c r="CL166" s="39" t="s">
        <v>2780</v>
      </c>
      <c r="CM166" s="39"/>
      <c r="CN166" s="274">
        <f ca="1">CJ157</f>
        <v>7</v>
      </c>
      <c r="CO166" s="272"/>
    </row>
    <row r="167" spans="24:93">
      <c r="BZ167" s="1" t="s">
        <v>2730</v>
      </c>
      <c r="CA167" s="61">
        <f ca="1">CD148</f>
        <v>50</v>
      </c>
      <c r="CC167" s="272"/>
      <c r="CD167" s="39"/>
      <c r="CE167" s="39"/>
      <c r="CF167" s="39"/>
      <c r="CG167" s="39"/>
      <c r="CH167" s="39"/>
      <c r="CI167" s="39"/>
      <c r="CJ167" s="39"/>
      <c r="CK167" s="39"/>
      <c r="CL167" s="39" t="s">
        <v>10</v>
      </c>
      <c r="CM167" s="39"/>
      <c r="CN167" s="274">
        <f ca="1">CN162</f>
        <v>50</v>
      </c>
      <c r="CO167" s="272"/>
    </row>
    <row r="168" spans="24:93">
      <c r="BZ168" s="1" t="s">
        <v>2731</v>
      </c>
      <c r="CA168" s="61">
        <f ca="1">CD149</f>
        <v>15.831971036352854</v>
      </c>
      <c r="CC168" s="272"/>
      <c r="CD168" s="39"/>
      <c r="CE168" s="39"/>
      <c r="CF168" s="39"/>
      <c r="CG168" s="39"/>
      <c r="CH168" s="39"/>
      <c r="CI168" s="39"/>
      <c r="CJ168" s="39"/>
      <c r="CK168" s="39"/>
      <c r="CL168" s="39" t="s">
        <v>2731</v>
      </c>
      <c r="CM168" s="39"/>
      <c r="CN168" s="274">
        <f ca="1">CN165</f>
        <v>15.831971036352854</v>
      </c>
      <c r="CO168" s="272"/>
    </row>
    <row r="169" spans="24:93">
      <c r="CC169" s="272"/>
      <c r="CD169" s="39"/>
      <c r="CE169" s="39"/>
      <c r="CF169" s="39"/>
      <c r="CG169" s="39"/>
      <c r="CH169" s="39"/>
      <c r="CI169" s="39"/>
      <c r="CJ169" s="39"/>
      <c r="CK169" s="39"/>
      <c r="CL169" s="39" t="s">
        <v>2781</v>
      </c>
      <c r="CM169" s="39"/>
      <c r="CN169" s="39"/>
      <c r="CO169" s="272"/>
    </row>
    <row r="170" spans="24:93">
      <c r="CC170" s="272"/>
      <c r="CD170" s="39"/>
      <c r="CE170" s="39"/>
      <c r="CF170" s="39"/>
      <c r="CG170" s="39"/>
      <c r="CH170" s="39"/>
      <c r="CI170" s="39"/>
      <c r="CJ170" s="39"/>
      <c r="CK170" s="39"/>
      <c r="CL170" s="39"/>
      <c r="CM170" s="39"/>
      <c r="CN170" s="282">
        <f ca="1">CN166*-1</f>
        <v>-7</v>
      </c>
      <c r="CO170" s="272"/>
    </row>
    <row r="171" spans="24:93">
      <c r="BZ171" s="1" t="s">
        <v>3881</v>
      </c>
      <c r="CA171" s="85">
        <f>IF(CA107=0,1,0)</f>
        <v>0</v>
      </c>
      <c r="CC171" s="272"/>
      <c r="CD171" s="39"/>
      <c r="CE171" s="39"/>
      <c r="CF171" s="39"/>
      <c r="CG171" s="39"/>
      <c r="CH171" s="39"/>
      <c r="CI171" s="39"/>
      <c r="CJ171" s="39"/>
      <c r="CK171" s="39"/>
      <c r="CL171" s="39"/>
      <c r="CM171" s="39"/>
      <c r="CN171" s="282">
        <f ca="1">CN167*-1</f>
        <v>-50</v>
      </c>
      <c r="CO171" s="272"/>
    </row>
    <row r="172" spans="24:93">
      <c r="BZ172" s="513" t="s">
        <v>3688</v>
      </c>
      <c r="CA172" s="256">
        <f ca="1">V70+CA171</f>
        <v>0</v>
      </c>
      <c r="CC172" s="270"/>
      <c r="CD172" s="39"/>
      <c r="CE172" s="39"/>
      <c r="CF172" s="39"/>
      <c r="CG172" s="39"/>
      <c r="CH172" s="39"/>
      <c r="CI172" s="39"/>
      <c r="CJ172" s="39"/>
      <c r="CK172" s="39"/>
      <c r="CL172" s="39"/>
      <c r="CM172" s="39"/>
      <c r="CN172" s="282">
        <f ca="1">CN168*-1</f>
        <v>-15.831971036352854</v>
      </c>
      <c r="CO172" s="270"/>
    </row>
    <row r="173" spans="24:93">
      <c r="BZ173" s="82" t="s">
        <v>9</v>
      </c>
      <c r="CA173" s="93">
        <f ca="1">IF(CA172=0,CA166,"")</f>
        <v>7</v>
      </c>
      <c r="CC173" s="271" t="s">
        <v>2766</v>
      </c>
      <c r="CD173" s="272"/>
      <c r="CE173" s="272"/>
      <c r="CF173" s="272"/>
      <c r="CG173" s="272"/>
      <c r="CH173" s="272"/>
      <c r="CI173" s="272"/>
      <c r="CJ173" s="272"/>
      <c r="CK173" s="272"/>
      <c r="CL173" s="272"/>
      <c r="CM173" s="272"/>
      <c r="CN173" s="272"/>
      <c r="CO173" s="273" t="s">
        <v>2767</v>
      </c>
    </row>
    <row r="174" spans="24:93">
      <c r="BZ174" s="82" t="s">
        <v>2730</v>
      </c>
      <c r="CA174" s="93">
        <f ca="1">IF(CA172=0,CA167,"")</f>
        <v>50</v>
      </c>
    </row>
    <row r="175" spans="24:93">
      <c r="BZ175" s="82" t="s">
        <v>2731</v>
      </c>
      <c r="CA175" s="93">
        <f ca="1">IF(CA172=0,CA168,"")</f>
        <v>15.831971036352854</v>
      </c>
    </row>
    <row r="177" spans="12:79">
      <c r="BZ177" s="62" t="s">
        <v>3884</v>
      </c>
      <c r="CA177" s="568" t="str">
        <f ca="1">IF(CA172=0,BZ177,"")</f>
        <v>Το ΑΠΟ</v>
      </c>
    </row>
    <row r="178" spans="12:79">
      <c r="BZ178" s="62" t="s">
        <v>3631</v>
      </c>
      <c r="CA178" s="568" t="str">
        <f ca="1">IF(CA172=0,BZ178,"")</f>
        <v>Ωριαία γωνία</v>
      </c>
    </row>
    <row r="180" spans="12:79">
      <c r="L180" s="63"/>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Giannis</dc:creator>
  <cp:lastModifiedBy>Syrios2</cp:lastModifiedBy>
  <dcterms:created xsi:type="dcterms:W3CDTF">2018-01-03T10:14:33Z</dcterms:created>
  <dcterms:modified xsi:type="dcterms:W3CDTF">2020-02-03T16:37:08Z</dcterms:modified>
</cp:coreProperties>
</file>