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BE244" i="1"/>
  <c r="AY228"/>
  <c r="AY229" s="1"/>
  <c r="BA230" s="1"/>
  <c r="DW17"/>
  <c r="DW16"/>
  <c r="AS22"/>
  <c r="BN22"/>
  <c r="BT23" l="1"/>
  <c r="BH113"/>
  <c r="CM120"/>
  <c r="DW37"/>
  <c r="DU37" s="1"/>
  <c r="DW36"/>
  <c r="DU36" s="1"/>
  <c r="DW35"/>
  <c r="DU35" s="1"/>
  <c r="BN24" l="1"/>
  <c r="C5"/>
  <c r="CM62" l="1"/>
  <c r="AJ122" i="2" l="1"/>
  <c r="AJ119"/>
  <c r="AI122"/>
  <c r="AI119"/>
  <c r="AH122"/>
  <c r="AG122"/>
  <c r="AF122"/>
  <c r="AE122"/>
  <c r="AD122"/>
  <c r="AC122"/>
  <c r="AB122"/>
  <c r="AB119"/>
  <c r="AA122"/>
  <c r="AA119"/>
  <c r="Z122"/>
  <c r="Z119"/>
  <c r="T97" l="1"/>
  <c r="AR86" i="1" s="1"/>
  <c r="W98" i="2"/>
  <c r="W103" s="1"/>
  <c r="AG119" l="1"/>
  <c r="AW79" i="1"/>
  <c r="M127" i="2" s="1"/>
  <c r="J98"/>
  <c r="J97"/>
  <c r="W106"/>
  <c r="W107" s="1"/>
  <c r="X108" s="1"/>
  <c r="F112"/>
  <c r="J99"/>
  <c r="W104"/>
  <c r="W100"/>
  <c r="AD119" s="1"/>
  <c r="BB221" i="1" s="1"/>
  <c r="W102" i="2"/>
  <c r="W99"/>
  <c r="AC119" s="1"/>
  <c r="W101"/>
  <c r="AE119" s="1"/>
  <c r="BC221" i="1" s="1"/>
  <c r="BJ43"/>
  <c r="BF43"/>
  <c r="BD221" l="1"/>
  <c r="AH119" i="2"/>
  <c r="AX79" i="1"/>
  <c r="N127" i="2" s="1"/>
  <c r="AF119"/>
  <c r="AV79" i="1"/>
  <c r="L127" i="2" s="1"/>
  <c r="W109"/>
  <c r="BE222" i="1" l="1"/>
  <c r="BE223" s="1"/>
  <c r="BC227" s="1"/>
  <c r="BE245"/>
  <c r="W110" i="2"/>
  <c r="X109"/>
  <c r="T10" i="1"/>
  <c r="T14" s="1"/>
  <c r="T29" s="1"/>
  <c r="AE83"/>
  <c r="AD83"/>
  <c r="AC83"/>
  <c r="AB83"/>
  <c r="AF8"/>
  <c r="AE8"/>
  <c r="AD8"/>
  <c r="AC8"/>
  <c r="AB8"/>
  <c r="AA8"/>
  <c r="AR58" l="1"/>
  <c r="J105" i="2" s="1"/>
  <c r="BE246" i="1"/>
  <c r="BE13"/>
  <c r="W111" i="2"/>
  <c r="X110"/>
  <c r="T31" i="1"/>
  <c r="T35" s="1"/>
  <c r="T36" s="1"/>
  <c r="T37" s="1"/>
  <c r="T39" s="1"/>
  <c r="T159" s="1"/>
  <c r="T30"/>
  <c r="T32" s="1"/>
  <c r="T33" s="1"/>
  <c r="T34" s="1"/>
  <c r="T38" s="1"/>
  <c r="U46" s="1"/>
  <c r="U47" s="1"/>
  <c r="U48" s="1"/>
  <c r="U49" s="1"/>
  <c r="U50" s="1"/>
  <c r="U51" s="1"/>
  <c r="U52" s="1"/>
  <c r="U53" s="1"/>
  <c r="U54" s="1"/>
  <c r="U55" s="1"/>
  <c r="U56" s="1"/>
  <c r="U57" s="1"/>
  <c r="U58" s="1"/>
  <c r="U59" s="1"/>
  <c r="U60" s="1"/>
  <c r="U61" s="1"/>
  <c r="U62" s="1"/>
  <c r="U63" s="1"/>
  <c r="U64" s="1"/>
  <c r="U65" s="1"/>
  <c r="U66" s="1"/>
  <c r="U67" s="1"/>
  <c r="U68" s="1"/>
  <c r="U69" s="1"/>
  <c r="U70" s="1"/>
  <c r="U71" s="1"/>
  <c r="U72" s="1"/>
  <c r="U73" s="1"/>
  <c r="U74" s="1"/>
  <c r="U75" s="1"/>
  <c r="U76" s="1"/>
  <c r="U77" s="1"/>
  <c r="U78" s="1"/>
  <c r="U79" s="1"/>
  <c r="U80" s="1"/>
  <c r="U81" s="1"/>
  <c r="U82" s="1"/>
  <c r="U83" s="1"/>
  <c r="U84" s="1"/>
  <c r="U85" s="1"/>
  <c r="U86" s="1"/>
  <c r="U87" s="1"/>
  <c r="U88" s="1"/>
  <c r="U89" s="1"/>
  <c r="U90" s="1"/>
  <c r="U91" s="1"/>
  <c r="U92" s="1"/>
  <c r="U93" s="1"/>
  <c r="U94" s="1"/>
  <c r="U95" s="1"/>
  <c r="U96" s="1"/>
  <c r="U97" s="1"/>
  <c r="U98" s="1"/>
  <c r="U99" s="1"/>
  <c r="U100" s="1"/>
  <c r="U101" s="1"/>
  <c r="U102" s="1"/>
  <c r="U103" s="1"/>
  <c r="U107" s="1"/>
  <c r="U108" s="1"/>
  <c r="U109" s="1"/>
  <c r="U110" s="1"/>
  <c r="U111" s="1"/>
  <c r="U112" s="1"/>
  <c r="U113" s="1"/>
  <c r="U114" s="1"/>
  <c r="U115" s="1"/>
  <c r="U116" s="1"/>
  <c r="U117" s="1"/>
  <c r="U118" s="1"/>
  <c r="U119" s="1"/>
  <c r="U120" s="1"/>
  <c r="U121" s="1"/>
  <c r="U122" s="1"/>
  <c r="U123" s="1"/>
  <c r="U124" s="1"/>
  <c r="U125" s="1"/>
  <c r="U126" s="1"/>
  <c r="U127" s="1"/>
  <c r="U128" s="1"/>
  <c r="U129" s="1"/>
  <c r="U130" s="1"/>
  <c r="U131" s="1"/>
  <c r="U132" s="1"/>
  <c r="U133" s="1"/>
  <c r="U134" s="1"/>
  <c r="U135" s="1"/>
  <c r="U136" s="1"/>
  <c r="U137" s="1"/>
  <c r="U138" s="1"/>
  <c r="U139" s="1"/>
  <c r="U140" s="1"/>
  <c r="U141" s="1"/>
  <c r="U142" s="1"/>
  <c r="U143" s="1"/>
  <c r="U144" s="1"/>
  <c r="U145" s="1"/>
  <c r="U146" s="1"/>
  <c r="U147" s="1"/>
  <c r="T157" s="1"/>
  <c r="AR59" l="1"/>
  <c r="J106" i="2" s="1"/>
  <c r="BE247" i="1"/>
  <c r="AR60" s="1"/>
  <c r="J107" i="2" s="1"/>
  <c r="W112"/>
  <c r="X111"/>
  <c r="X112" s="1"/>
  <c r="W113" s="1"/>
  <c r="L97" s="1"/>
  <c r="X117"/>
  <c r="T160" i="1"/>
  <c r="T158"/>
  <c r="AI124" i="2" l="1"/>
  <c r="AR72" i="1" s="1"/>
  <c r="AJ10" s="1"/>
  <c r="Y5" s="1"/>
  <c r="Y6" s="1"/>
  <c r="Y8" s="1"/>
  <c r="Y9" s="1"/>
  <c r="Y10" s="1"/>
  <c r="Y11" s="1"/>
  <c r="Y13" s="1"/>
  <c r="Y15" s="1"/>
  <c r="AJ12" s="1"/>
  <c r="AJ13" s="1"/>
  <c r="AJ14" s="1"/>
  <c r="AJ15" s="1"/>
  <c r="AJ18" s="1"/>
  <c r="AG124" i="2"/>
  <c r="CF26" i="1" s="1"/>
  <c r="CF76" s="1"/>
  <c r="AJ124" i="2"/>
  <c r="AU76" i="1" s="1"/>
  <c r="AJ8" s="1"/>
  <c r="T9" s="1"/>
  <c r="T13" s="1"/>
  <c r="T16" s="1"/>
  <c r="AH124" i="2"/>
  <c r="CF27" i="1" s="1"/>
  <c r="CF77" s="1"/>
  <c r="CF79" s="1"/>
  <c r="AE124" i="2"/>
  <c r="CF24" i="1" s="1"/>
  <c r="AB124" i="2"/>
  <c r="AF124"/>
  <c r="CF25" i="1" s="1"/>
  <c r="CF50" s="1"/>
  <c r="AD124" i="2"/>
  <c r="CF23" i="1" s="1"/>
  <c r="Z124" i="2"/>
  <c r="AA124"/>
  <c r="AC124"/>
  <c r="CF22" i="1" s="1"/>
  <c r="CF72" s="1"/>
  <c r="CF84" s="1"/>
  <c r="T161"/>
  <c r="T162" s="1"/>
  <c r="C6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C223" s="1"/>
  <c r="C224" s="1"/>
  <c r="C225" s="1"/>
  <c r="C226" s="1"/>
  <c r="C227" s="1"/>
  <c r="C228" s="1"/>
  <c r="C229" s="1"/>
  <c r="C230" s="1"/>
  <c r="C231" s="1"/>
  <c r="C232" s="1"/>
  <c r="C233" s="1"/>
  <c r="C234" s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49" s="1"/>
  <c r="C250" s="1"/>
  <c r="C251" s="1"/>
  <c r="C252" s="1"/>
  <c r="C253" s="1"/>
  <c r="C254" s="1"/>
  <c r="C255" s="1"/>
  <c r="C256" s="1"/>
  <c r="C257" s="1"/>
  <c r="C258" s="1"/>
  <c r="C259" s="1"/>
  <c r="C260" s="1"/>
  <c r="C261" s="1"/>
  <c r="C262" s="1"/>
  <c r="C263" s="1"/>
  <c r="C264" s="1"/>
  <c r="C265" s="1"/>
  <c r="C266" s="1"/>
  <c r="C267" s="1"/>
  <c r="C268" s="1"/>
  <c r="C269" s="1"/>
  <c r="C270" s="1"/>
  <c r="C271" s="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289" s="1"/>
  <c r="C290" s="1"/>
  <c r="C291" s="1"/>
  <c r="C292" s="1"/>
  <c r="C293" s="1"/>
  <c r="C294" s="1"/>
  <c r="C295" s="1"/>
  <c r="C296" s="1"/>
  <c r="C297" s="1"/>
  <c r="C298" s="1"/>
  <c r="C299" s="1"/>
  <c r="C300" s="1"/>
  <c r="C301" s="1"/>
  <c r="C302" s="1"/>
  <c r="C303" s="1"/>
  <c r="C304" s="1"/>
  <c r="C305" s="1"/>
  <c r="C306" s="1"/>
  <c r="C307" s="1"/>
  <c r="C308" s="1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29" s="1"/>
  <c r="C330" s="1"/>
  <c r="C331" s="1"/>
  <c r="C332" s="1"/>
  <c r="C333" s="1"/>
  <c r="C334" s="1"/>
  <c r="C335" s="1"/>
  <c r="C336" s="1"/>
  <c r="C337" s="1"/>
  <c r="C338" s="1"/>
  <c r="C339" s="1"/>
  <c r="C340" s="1"/>
  <c r="C341" s="1"/>
  <c r="C342" s="1"/>
  <c r="C343" s="1"/>
  <c r="C344" s="1"/>
  <c r="C345" s="1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68" s="1"/>
  <c r="C369" s="1"/>
  <c r="C370" s="1"/>
  <c r="C371" s="1"/>
  <c r="C372" s="1"/>
  <c r="C373" s="1"/>
  <c r="C374" s="1"/>
  <c r="C375" s="1"/>
  <c r="C376" s="1"/>
  <c r="C377" s="1"/>
  <c r="C378" s="1"/>
  <c r="C379" s="1"/>
  <c r="C380" s="1"/>
  <c r="C381" s="1"/>
  <c r="C382" s="1"/>
  <c r="C383" s="1"/>
  <c r="C384" s="1"/>
  <c r="C385" s="1"/>
  <c r="C386" s="1"/>
  <c r="C387" s="1"/>
  <c r="C388" s="1"/>
  <c r="C389" s="1"/>
  <c r="C390" s="1"/>
  <c r="C391" s="1"/>
  <c r="C392" s="1"/>
  <c r="C393" s="1"/>
  <c r="C394" s="1"/>
  <c r="C395" s="1"/>
  <c r="C396" s="1"/>
  <c r="C397" s="1"/>
  <c r="C398" s="1"/>
  <c r="C399" s="1"/>
  <c r="C400" s="1"/>
  <c r="C401" s="1"/>
  <c r="C402" s="1"/>
  <c r="C403" s="1"/>
  <c r="C404" s="1"/>
  <c r="C405" s="1"/>
  <c r="C406" s="1"/>
  <c r="C407" s="1"/>
  <c r="C408" s="1"/>
  <c r="C409" s="1"/>
  <c r="C410" s="1"/>
  <c r="C411" s="1"/>
  <c r="C412" s="1"/>
  <c r="C413" s="1"/>
  <c r="C414" s="1"/>
  <c r="C415" s="1"/>
  <c r="C416" s="1"/>
  <c r="C417" s="1"/>
  <c r="C418" s="1"/>
  <c r="C419" s="1"/>
  <c r="C420" s="1"/>
  <c r="C421" s="1"/>
  <c r="C422" s="1"/>
  <c r="C423" s="1"/>
  <c r="C424" s="1"/>
  <c r="C425" s="1"/>
  <c r="C426" s="1"/>
  <c r="C427" s="1"/>
  <c r="C428" s="1"/>
  <c r="C429" s="1"/>
  <c r="C430" s="1"/>
  <c r="C431" s="1"/>
  <c r="C432" s="1"/>
  <c r="C433" s="1"/>
  <c r="C434" s="1"/>
  <c r="C435" s="1"/>
  <c r="C436" s="1"/>
  <c r="C437" s="1"/>
  <c r="C438" s="1"/>
  <c r="C439" s="1"/>
  <c r="C440" s="1"/>
  <c r="C441" s="1"/>
  <c r="C442" s="1"/>
  <c r="C443" s="1"/>
  <c r="C444" s="1"/>
  <c r="C445" s="1"/>
  <c r="C446" s="1"/>
  <c r="C447" s="1"/>
  <c r="C448" s="1"/>
  <c r="C449" s="1"/>
  <c r="C450" s="1"/>
  <c r="C451" s="1"/>
  <c r="C452" s="1"/>
  <c r="C453" s="1"/>
  <c r="C454" s="1"/>
  <c r="C455" s="1"/>
  <c r="C456" s="1"/>
  <c r="C457" s="1"/>
  <c r="C458" s="1"/>
  <c r="C459" s="1"/>
  <c r="C460" s="1"/>
  <c r="C461" s="1"/>
  <c r="C462" s="1"/>
  <c r="C463" s="1"/>
  <c r="C464" s="1"/>
  <c r="C465" s="1"/>
  <c r="C466" s="1"/>
  <c r="C467" s="1"/>
  <c r="C468" s="1"/>
  <c r="C469" s="1"/>
  <c r="C470" s="1"/>
  <c r="C471" s="1"/>
  <c r="C472" s="1"/>
  <c r="C473" s="1"/>
  <c r="C474" s="1"/>
  <c r="C475" s="1"/>
  <c r="C476" s="1"/>
  <c r="C477" s="1"/>
  <c r="C478" s="1"/>
  <c r="C479" s="1"/>
  <c r="C480" s="1"/>
  <c r="C481" s="1"/>
  <c r="C482" s="1"/>
  <c r="C483" s="1"/>
  <c r="C484" s="1"/>
  <c r="C485" s="1"/>
  <c r="C486" s="1"/>
  <c r="C487" s="1"/>
  <c r="C488" s="1"/>
  <c r="C489" s="1"/>
  <c r="C490" s="1"/>
  <c r="C491" s="1"/>
  <c r="C492" s="1"/>
  <c r="C493" s="1"/>
  <c r="C494" s="1"/>
  <c r="C495" s="1"/>
  <c r="C496" s="1"/>
  <c r="C497" s="1"/>
  <c r="C498" s="1"/>
  <c r="C499" s="1"/>
  <c r="C500" s="1"/>
  <c r="C501" s="1"/>
  <c r="C502" s="1"/>
  <c r="C503" s="1"/>
  <c r="C504" s="1"/>
  <c r="C505" s="1"/>
  <c r="C506" s="1"/>
  <c r="C507" s="1"/>
  <c r="C508" s="1"/>
  <c r="C509" s="1"/>
  <c r="C510" s="1"/>
  <c r="C511" s="1"/>
  <c r="C512" s="1"/>
  <c r="C513" s="1"/>
  <c r="C514" s="1"/>
  <c r="C515" s="1"/>
  <c r="C516" s="1"/>
  <c r="C517" s="1"/>
  <c r="C518" s="1"/>
  <c r="C519" s="1"/>
  <c r="C520" s="1"/>
  <c r="C521" s="1"/>
  <c r="C522" s="1"/>
  <c r="C523" s="1"/>
  <c r="C524" s="1"/>
  <c r="C525" s="1"/>
  <c r="C526" s="1"/>
  <c r="C527" s="1"/>
  <c r="C528" s="1"/>
  <c r="C529" s="1"/>
  <c r="C530" s="1"/>
  <c r="C531" s="1"/>
  <c r="C532" s="1"/>
  <c r="C533" s="1"/>
  <c r="C534" s="1"/>
  <c r="C535" s="1"/>
  <c r="C536" s="1"/>
  <c r="C537" s="1"/>
  <c r="C538" s="1"/>
  <c r="C539" s="1"/>
  <c r="C540" s="1"/>
  <c r="C541" s="1"/>
  <c r="C542" s="1"/>
  <c r="C543" s="1"/>
  <c r="C544" s="1"/>
  <c r="C545" s="1"/>
  <c r="C546" s="1"/>
  <c r="C547" s="1"/>
  <c r="C548" s="1"/>
  <c r="C549" s="1"/>
  <c r="C550" s="1"/>
  <c r="C551" s="1"/>
  <c r="C552" s="1"/>
  <c r="C553" s="1"/>
  <c r="C554" s="1"/>
  <c r="C555" s="1"/>
  <c r="C556" s="1"/>
  <c r="C557" s="1"/>
  <c r="C558" s="1"/>
  <c r="C559" s="1"/>
  <c r="C560" s="1"/>
  <c r="C561" s="1"/>
  <c r="C562" s="1"/>
  <c r="C563" s="1"/>
  <c r="C564" s="1"/>
  <c r="C565" s="1"/>
  <c r="C566" s="1"/>
  <c r="C567" s="1"/>
  <c r="C568" s="1"/>
  <c r="C569" s="1"/>
  <c r="C570" s="1"/>
  <c r="C571" s="1"/>
  <c r="C572" s="1"/>
  <c r="C573" s="1"/>
  <c r="C574" s="1"/>
  <c r="C575" s="1"/>
  <c r="C576" s="1"/>
  <c r="C577" s="1"/>
  <c r="C578" s="1"/>
  <c r="C579" s="1"/>
  <c r="C580" s="1"/>
  <c r="C581" s="1"/>
  <c r="C582" s="1"/>
  <c r="C583" s="1"/>
  <c r="C584" s="1"/>
  <c r="C585" s="1"/>
  <c r="C586" s="1"/>
  <c r="C587" s="1"/>
  <c r="C588" s="1"/>
  <c r="C589" s="1"/>
  <c r="C590" s="1"/>
  <c r="C591" s="1"/>
  <c r="C592" s="1"/>
  <c r="C593" s="1"/>
  <c r="C594" s="1"/>
  <c r="C595" s="1"/>
  <c r="C596" s="1"/>
  <c r="C597" s="1"/>
  <c r="C598" s="1"/>
  <c r="C599" s="1"/>
  <c r="C600" s="1"/>
  <c r="C601" s="1"/>
  <c r="C602" s="1"/>
  <c r="C603" s="1"/>
  <c r="C604" s="1"/>
  <c r="C605" s="1"/>
  <c r="C606" s="1"/>
  <c r="C607" s="1"/>
  <c r="C608" s="1"/>
  <c r="C609" s="1"/>
  <c r="C610" s="1"/>
  <c r="C611" s="1"/>
  <c r="C612" s="1"/>
  <c r="C613" s="1"/>
  <c r="C614" s="1"/>
  <c r="C615" s="1"/>
  <c r="C616" s="1"/>
  <c r="C617" s="1"/>
  <c r="C618" s="1"/>
  <c r="C619" s="1"/>
  <c r="C620" s="1"/>
  <c r="C621" s="1"/>
  <c r="C622" s="1"/>
  <c r="C623" s="1"/>
  <c r="C624" s="1"/>
  <c r="C625" s="1"/>
  <c r="C626" s="1"/>
  <c r="C627" s="1"/>
  <c r="C628" s="1"/>
  <c r="C629" s="1"/>
  <c r="C630" s="1"/>
  <c r="C631" s="1"/>
  <c r="C632" s="1"/>
  <c r="C633" s="1"/>
  <c r="C634" s="1"/>
  <c r="C635" s="1"/>
  <c r="C636" s="1"/>
  <c r="C637" s="1"/>
  <c r="C638" s="1"/>
  <c r="C639" s="1"/>
  <c r="C640" s="1"/>
  <c r="C641" s="1"/>
  <c r="C642" s="1"/>
  <c r="C643" s="1"/>
  <c r="C644" s="1"/>
  <c r="C645" s="1"/>
  <c r="C646" s="1"/>
  <c r="C647" s="1"/>
  <c r="C648" s="1"/>
  <c r="C649" s="1"/>
  <c r="C650" s="1"/>
  <c r="C651" s="1"/>
  <c r="C652" s="1"/>
  <c r="C653" s="1"/>
  <c r="C654" s="1"/>
  <c r="C655" s="1"/>
  <c r="C656" s="1"/>
  <c r="C657" s="1"/>
  <c r="C658" s="1"/>
  <c r="C659" s="1"/>
  <c r="C660" s="1"/>
  <c r="C661" s="1"/>
  <c r="C662" s="1"/>
  <c r="C663" s="1"/>
  <c r="C664" s="1"/>
  <c r="C665" s="1"/>
  <c r="C666" s="1"/>
  <c r="C667" s="1"/>
  <c r="C668" s="1"/>
  <c r="C669" s="1"/>
  <c r="C670" s="1"/>
  <c r="C671" s="1"/>
  <c r="C672" s="1"/>
  <c r="C673" s="1"/>
  <c r="C674" s="1"/>
  <c r="C675" s="1"/>
  <c r="C676" s="1"/>
  <c r="C677" s="1"/>
  <c r="C678" s="1"/>
  <c r="C679" s="1"/>
  <c r="C680" s="1"/>
  <c r="C681" s="1"/>
  <c r="C682" s="1"/>
  <c r="C683" s="1"/>
  <c r="C684" s="1"/>
  <c r="C685" s="1"/>
  <c r="C686" s="1"/>
  <c r="C687" s="1"/>
  <c r="C688" s="1"/>
  <c r="C689" s="1"/>
  <c r="C690" s="1"/>
  <c r="C691" s="1"/>
  <c r="C692" s="1"/>
  <c r="C693" s="1"/>
  <c r="C694" s="1"/>
  <c r="C695" s="1"/>
  <c r="C696" s="1"/>
  <c r="C697" s="1"/>
  <c r="C698" s="1"/>
  <c r="C699" s="1"/>
  <c r="C700" s="1"/>
  <c r="C701" s="1"/>
  <c r="C702" s="1"/>
  <c r="C703" s="1"/>
  <c r="C704" s="1"/>
  <c r="C705" s="1"/>
  <c r="C706" s="1"/>
  <c r="C707" s="1"/>
  <c r="C708" s="1"/>
  <c r="C709" s="1"/>
  <c r="C710" s="1"/>
  <c r="C711" s="1"/>
  <c r="C712" s="1"/>
  <c r="C713" s="1"/>
  <c r="C714" s="1"/>
  <c r="C715" s="1"/>
  <c r="C716" s="1"/>
  <c r="C717" s="1"/>
  <c r="C718" s="1"/>
  <c r="C719" s="1"/>
  <c r="C720" s="1"/>
  <c r="C721" s="1"/>
  <c r="C722" s="1"/>
  <c r="C723" s="1"/>
  <c r="C724" s="1"/>
  <c r="C725" s="1"/>
  <c r="C726" s="1"/>
  <c r="C727" s="1"/>
  <c r="C728" s="1"/>
  <c r="C729" s="1"/>
  <c r="C730" s="1"/>
  <c r="C731" s="1"/>
  <c r="C732" s="1"/>
  <c r="C733" s="1"/>
  <c r="C734" s="1"/>
  <c r="C735" s="1"/>
  <c r="C736" s="1"/>
  <c r="C737" s="1"/>
  <c r="C738" s="1"/>
  <c r="C739" s="1"/>
  <c r="C740" s="1"/>
  <c r="C741" s="1"/>
  <c r="C742" s="1"/>
  <c r="C743" s="1"/>
  <c r="C744" s="1"/>
  <c r="C745" s="1"/>
  <c r="C746" s="1"/>
  <c r="C747" s="1"/>
  <c r="C748" s="1"/>
  <c r="C749" s="1"/>
  <c r="C750" s="1"/>
  <c r="C751" s="1"/>
  <c r="C752" s="1"/>
  <c r="C753" s="1"/>
  <c r="C754" s="1"/>
  <c r="C755" s="1"/>
  <c r="C756" s="1"/>
  <c r="C757" s="1"/>
  <c r="C758" s="1"/>
  <c r="C759" s="1"/>
  <c r="C760" s="1"/>
  <c r="C761" s="1"/>
  <c r="C762" s="1"/>
  <c r="C763" s="1"/>
  <c r="C764" s="1"/>
  <c r="C765" s="1"/>
  <c r="C766" s="1"/>
  <c r="C767" s="1"/>
  <c r="C768" s="1"/>
  <c r="C769" s="1"/>
  <c r="C770" s="1"/>
  <c r="C771" s="1"/>
  <c r="C772" s="1"/>
  <c r="C773" s="1"/>
  <c r="C774" s="1"/>
  <c r="C775" s="1"/>
  <c r="C776" s="1"/>
  <c r="C777" s="1"/>
  <c r="C778" s="1"/>
  <c r="C779" s="1"/>
  <c r="C780" s="1"/>
  <c r="C781" s="1"/>
  <c r="C782" s="1"/>
  <c r="C783" s="1"/>
  <c r="C784" s="1"/>
  <c r="C785" s="1"/>
  <c r="C786" s="1"/>
  <c r="C787" s="1"/>
  <c r="C788" s="1"/>
  <c r="C789" s="1"/>
  <c r="C790" s="1"/>
  <c r="C791" s="1"/>
  <c r="C792" s="1"/>
  <c r="C793" s="1"/>
  <c r="C794" s="1"/>
  <c r="C795" s="1"/>
  <c r="C796" s="1"/>
  <c r="C797" s="1"/>
  <c r="C798" s="1"/>
  <c r="C799" s="1"/>
  <c r="C800" s="1"/>
  <c r="C801" s="1"/>
  <c r="C802" s="1"/>
  <c r="C803" s="1"/>
  <c r="C804" s="1"/>
  <c r="C805" s="1"/>
  <c r="C806" s="1"/>
  <c r="C807" s="1"/>
  <c r="C808" s="1"/>
  <c r="C809" s="1"/>
  <c r="C810" s="1"/>
  <c r="C811" s="1"/>
  <c r="C812" s="1"/>
  <c r="C813" s="1"/>
  <c r="C814" s="1"/>
  <c r="C815" s="1"/>
  <c r="C816" s="1"/>
  <c r="C817" s="1"/>
  <c r="C818" s="1"/>
  <c r="C819" s="1"/>
  <c r="C820" s="1"/>
  <c r="C821" s="1"/>
  <c r="C822" s="1"/>
  <c r="C823" s="1"/>
  <c r="C824" s="1"/>
  <c r="C825" s="1"/>
  <c r="C826" s="1"/>
  <c r="C827" s="1"/>
  <c r="C828" s="1"/>
  <c r="C829" s="1"/>
  <c r="C830" s="1"/>
  <c r="C831" s="1"/>
  <c r="C832" s="1"/>
  <c r="C833" s="1"/>
  <c r="C834" s="1"/>
  <c r="C835" s="1"/>
  <c r="C836" s="1"/>
  <c r="C837" s="1"/>
  <c r="C838" s="1"/>
  <c r="C839" s="1"/>
  <c r="C840" s="1"/>
  <c r="C841" s="1"/>
  <c r="C842" s="1"/>
  <c r="C843" s="1"/>
  <c r="C844" s="1"/>
  <c r="C845" s="1"/>
  <c r="C846" s="1"/>
  <c r="C847" s="1"/>
  <c r="C848" s="1"/>
  <c r="C849" s="1"/>
  <c r="C850" s="1"/>
  <c r="C851" s="1"/>
  <c r="C852" s="1"/>
  <c r="C853" s="1"/>
  <c r="C854" s="1"/>
  <c r="C855" s="1"/>
  <c r="C856" s="1"/>
  <c r="C857" s="1"/>
  <c r="C858" s="1"/>
  <c r="C859" s="1"/>
  <c r="C860" s="1"/>
  <c r="C861" s="1"/>
  <c r="C862" s="1"/>
  <c r="C863" s="1"/>
  <c r="C864" s="1"/>
  <c r="C865" s="1"/>
  <c r="C866" s="1"/>
  <c r="C867" s="1"/>
  <c r="C868" s="1"/>
  <c r="C869" s="1"/>
  <c r="C870" s="1"/>
  <c r="C871" s="1"/>
  <c r="C872" s="1"/>
  <c r="C873" s="1"/>
  <c r="C874" s="1"/>
  <c r="C875" s="1"/>
  <c r="C876" s="1"/>
  <c r="C877" s="1"/>
  <c r="C878" s="1"/>
  <c r="C879" s="1"/>
  <c r="C880" s="1"/>
  <c r="C881" s="1"/>
  <c r="C882" s="1"/>
  <c r="C883" s="1"/>
  <c r="C884" s="1"/>
  <c r="C885" s="1"/>
  <c r="C886" s="1"/>
  <c r="C887" s="1"/>
  <c r="C888" s="1"/>
  <c r="C889" s="1"/>
  <c r="C890" s="1"/>
  <c r="C891" s="1"/>
  <c r="C892" s="1"/>
  <c r="C893" s="1"/>
  <c r="C894" s="1"/>
  <c r="C895" s="1"/>
  <c r="C896" s="1"/>
  <c r="C897" s="1"/>
  <c r="C898" s="1"/>
  <c r="C899" s="1"/>
  <c r="C900" s="1"/>
  <c r="C901" s="1"/>
  <c r="C902" s="1"/>
  <c r="C903" s="1"/>
  <c r="C904" s="1"/>
  <c r="C905" s="1"/>
  <c r="C906" s="1"/>
  <c r="C907" s="1"/>
  <c r="C908" s="1"/>
  <c r="C909" s="1"/>
  <c r="C910" s="1"/>
  <c r="C911" s="1"/>
  <c r="C912" s="1"/>
  <c r="C913" s="1"/>
  <c r="C914" s="1"/>
  <c r="C915" s="1"/>
  <c r="C916" s="1"/>
  <c r="C917" s="1"/>
  <c r="C918" s="1"/>
  <c r="C919" s="1"/>
  <c r="C920" s="1"/>
  <c r="C921" s="1"/>
  <c r="C922" s="1"/>
  <c r="C923" s="1"/>
  <c r="C924" s="1"/>
  <c r="C925" s="1"/>
  <c r="C926" s="1"/>
  <c r="C927" s="1"/>
  <c r="C928" s="1"/>
  <c r="C929" s="1"/>
  <c r="C930" s="1"/>
  <c r="C931" s="1"/>
  <c r="C932" s="1"/>
  <c r="C933" s="1"/>
  <c r="C934" s="1"/>
  <c r="C935" s="1"/>
  <c r="C936" s="1"/>
  <c r="C937" s="1"/>
  <c r="C938" s="1"/>
  <c r="C939" s="1"/>
  <c r="C940" s="1"/>
  <c r="C941" s="1"/>
  <c r="C942" s="1"/>
  <c r="C943" s="1"/>
  <c r="C944" s="1"/>
  <c r="C945" s="1"/>
  <c r="C946" s="1"/>
  <c r="C947" s="1"/>
  <c r="C948" s="1"/>
  <c r="C949" s="1"/>
  <c r="C950" s="1"/>
  <c r="C951" s="1"/>
  <c r="C952" s="1"/>
  <c r="C953" s="1"/>
  <c r="C954" s="1"/>
  <c r="C955" s="1"/>
  <c r="C956" s="1"/>
  <c r="C957" s="1"/>
  <c r="C958" s="1"/>
  <c r="C959" s="1"/>
  <c r="C960" s="1"/>
  <c r="C961" s="1"/>
  <c r="C962" s="1"/>
  <c r="C963" s="1"/>
  <c r="C964" s="1"/>
  <c r="C965" s="1"/>
  <c r="C966" s="1"/>
  <c r="C967" s="1"/>
  <c r="C968" s="1"/>
  <c r="C969" s="1"/>
  <c r="C970" s="1"/>
  <c r="C971" s="1"/>
  <c r="C972" s="1"/>
  <c r="C973" s="1"/>
  <c r="C974" s="1"/>
  <c r="C975" s="1"/>
  <c r="C976" s="1"/>
  <c r="C977" s="1"/>
  <c r="C978" s="1"/>
  <c r="C979" s="1"/>
  <c r="C980" s="1"/>
  <c r="C981" s="1"/>
  <c r="C982" s="1"/>
  <c r="C983" s="1"/>
  <c r="C984" s="1"/>
  <c r="C985" s="1"/>
  <c r="C986" s="1"/>
  <c r="C987" s="1"/>
  <c r="C988" s="1"/>
  <c r="C989" s="1"/>
  <c r="C990" s="1"/>
  <c r="C991" s="1"/>
  <c r="C992" s="1"/>
  <c r="C993" s="1"/>
  <c r="C994" s="1"/>
  <c r="C995" s="1"/>
  <c r="C996" s="1"/>
  <c r="C997" s="1"/>
  <c r="C998" s="1"/>
  <c r="C999" s="1"/>
  <c r="C1000" s="1"/>
  <c r="C1001" s="1"/>
  <c r="C1002" s="1"/>
  <c r="C1003" s="1"/>
  <c r="C1004" s="1"/>
  <c r="C1005" s="1"/>
  <c r="C1006" s="1"/>
  <c r="C1007" s="1"/>
  <c r="C1008" s="1"/>
  <c r="C1009" s="1"/>
  <c r="C1010" s="1"/>
  <c r="C1011" s="1"/>
  <c r="C1012" s="1"/>
  <c r="C1013" s="1"/>
  <c r="C1014" s="1"/>
  <c r="C1015" s="1"/>
  <c r="C1016" s="1"/>
  <c r="C1017" s="1"/>
  <c r="C1018" s="1"/>
  <c r="C1019" s="1"/>
  <c r="C1020" s="1"/>
  <c r="C1021" s="1"/>
  <c r="C1022" s="1"/>
  <c r="C1023" s="1"/>
  <c r="C1024" s="1"/>
  <c r="C1025" s="1"/>
  <c r="C1026" s="1"/>
  <c r="C1027" s="1"/>
  <c r="C1028" s="1"/>
  <c r="C1029" s="1"/>
  <c r="C1030" s="1"/>
  <c r="C1031" s="1"/>
  <c r="C1032" s="1"/>
  <c r="C1033" s="1"/>
  <c r="C1034" s="1"/>
  <c r="C1035" s="1"/>
  <c r="C1036" s="1"/>
  <c r="C1037" s="1"/>
  <c r="C1038" s="1"/>
  <c r="C1039" s="1"/>
  <c r="C1040" s="1"/>
  <c r="C1041" s="1"/>
  <c r="C1042" s="1"/>
  <c r="C1043" s="1"/>
  <c r="C1044" s="1"/>
  <c r="C1045" s="1"/>
  <c r="C1046" s="1"/>
  <c r="C1047" s="1"/>
  <c r="C1048" s="1"/>
  <c r="C1049" s="1"/>
  <c r="C1050" s="1"/>
  <c r="C1051" s="1"/>
  <c r="C1052" s="1"/>
  <c r="C1053" s="1"/>
  <c r="C1054" s="1"/>
  <c r="C1055" s="1"/>
  <c r="C1056" s="1"/>
  <c r="C1057" s="1"/>
  <c r="C1058" s="1"/>
  <c r="C1059" s="1"/>
  <c r="C1060" s="1"/>
  <c r="C1061" s="1"/>
  <c r="C1062" s="1"/>
  <c r="C1063" s="1"/>
  <c r="C1064" s="1"/>
  <c r="C1065" s="1"/>
  <c r="C1066" s="1"/>
  <c r="C1067" s="1"/>
  <c r="C1068" s="1"/>
  <c r="C1069" s="1"/>
  <c r="C1070" s="1"/>
  <c r="C1071" s="1"/>
  <c r="C1072" s="1"/>
  <c r="C1073" s="1"/>
  <c r="C1074" s="1"/>
  <c r="C1075" s="1"/>
  <c r="C1076" s="1"/>
  <c r="C1077" s="1"/>
  <c r="C1078" s="1"/>
  <c r="C1079" s="1"/>
  <c r="C1080" s="1"/>
  <c r="C1081" s="1"/>
  <c r="C1082" s="1"/>
  <c r="C1083" s="1"/>
  <c r="C1084" s="1"/>
  <c r="C1085" s="1"/>
  <c r="C1086" s="1"/>
  <c r="C1087" s="1"/>
  <c r="C1088" s="1"/>
  <c r="C1089" s="1"/>
  <c r="C1090" s="1"/>
  <c r="C1091" s="1"/>
  <c r="C1092" s="1"/>
  <c r="C1093" s="1"/>
  <c r="C1094" s="1"/>
  <c r="C1095" s="1"/>
  <c r="C1096" s="1"/>
  <c r="C1097" s="1"/>
  <c r="C1098" s="1"/>
  <c r="C1099" s="1"/>
  <c r="C1100" s="1"/>
  <c r="C1101" s="1"/>
  <c r="C1102" s="1"/>
  <c r="C1103" s="1"/>
  <c r="C1104" s="1"/>
  <c r="C1105" s="1"/>
  <c r="C1106" s="1"/>
  <c r="C1107" s="1"/>
  <c r="C1108" s="1"/>
  <c r="C1109" s="1"/>
  <c r="C1110" s="1"/>
  <c r="C1111" s="1"/>
  <c r="C1112" s="1"/>
  <c r="C1113" s="1"/>
  <c r="C1114" s="1"/>
  <c r="C1115" s="1"/>
  <c r="C1116" s="1"/>
  <c r="C1117" s="1"/>
  <c r="C1118" s="1"/>
  <c r="C1119" s="1"/>
  <c r="C1120" s="1"/>
  <c r="C1121" s="1"/>
  <c r="C1122" s="1"/>
  <c r="C1123" s="1"/>
  <c r="C1124" s="1"/>
  <c r="C1125" s="1"/>
  <c r="C1126" s="1"/>
  <c r="C1127" s="1"/>
  <c r="C1128" s="1"/>
  <c r="C1129" s="1"/>
  <c r="C1130" s="1"/>
  <c r="C1131" s="1"/>
  <c r="C1132" s="1"/>
  <c r="C1133" s="1"/>
  <c r="C1134" s="1"/>
  <c r="C1135" s="1"/>
  <c r="C1136" s="1"/>
  <c r="C1137" s="1"/>
  <c r="C1138" s="1"/>
  <c r="C1139" s="1"/>
  <c r="C1140" s="1"/>
  <c r="C1141" s="1"/>
  <c r="C1142" s="1"/>
  <c r="C1143" s="1"/>
  <c r="C1144" s="1"/>
  <c r="C1145" s="1"/>
  <c r="C1146" s="1"/>
  <c r="C1147" s="1"/>
  <c r="C1148" s="1"/>
  <c r="C1149" s="1"/>
  <c r="C1150" s="1"/>
  <c r="C1151" s="1"/>
  <c r="C1152" s="1"/>
  <c r="C1153" s="1"/>
  <c r="C1154" s="1"/>
  <c r="C1155" s="1"/>
  <c r="C1156" s="1"/>
  <c r="C1157" s="1"/>
  <c r="C1158" s="1"/>
  <c r="C1159" s="1"/>
  <c r="C1160" s="1"/>
  <c r="C1161" s="1"/>
  <c r="C1162" s="1"/>
  <c r="C1163" s="1"/>
  <c r="C1164" s="1"/>
  <c r="C1165" s="1"/>
  <c r="C1166" s="1"/>
  <c r="C1167" s="1"/>
  <c r="C1168" s="1"/>
  <c r="C1169" s="1"/>
  <c r="C1170" s="1"/>
  <c r="C1171" s="1"/>
  <c r="C1172" s="1"/>
  <c r="C1173" s="1"/>
  <c r="C1174" s="1"/>
  <c r="C1175" s="1"/>
  <c r="C1176" s="1"/>
  <c r="C1177" s="1"/>
  <c r="C1178" s="1"/>
  <c r="C1179" s="1"/>
  <c r="C1180" s="1"/>
  <c r="C1181" s="1"/>
  <c r="C1182" s="1"/>
  <c r="C1183" s="1"/>
  <c r="C1184" s="1"/>
  <c r="C1185" s="1"/>
  <c r="C1186" s="1"/>
  <c r="C1187" s="1"/>
  <c r="C1188" s="1"/>
  <c r="C1189" s="1"/>
  <c r="C1190" s="1"/>
  <c r="C1191" s="1"/>
  <c r="C1192" s="1"/>
  <c r="C1193" s="1"/>
  <c r="C1194" s="1"/>
  <c r="C1195" s="1"/>
  <c r="C1196" s="1"/>
  <c r="C1197" s="1"/>
  <c r="C1198" s="1"/>
  <c r="C1199" s="1"/>
  <c r="C1200" s="1"/>
  <c r="C1201" s="1"/>
  <c r="C1202" s="1"/>
  <c r="C1203" s="1"/>
  <c r="C1204" s="1"/>
  <c r="C1205" s="1"/>
  <c r="C1206" s="1"/>
  <c r="C1207" s="1"/>
  <c r="C1208" s="1"/>
  <c r="C1209" s="1"/>
  <c r="AJ80" s="1"/>
  <c r="CF46" l="1"/>
  <c r="CH38" s="1"/>
  <c r="CH47" s="1"/>
  <c r="BG30"/>
  <c r="CM19"/>
  <c r="BN12"/>
  <c r="BQ11" s="1"/>
  <c r="BQ18" s="1"/>
  <c r="BQ19" s="1"/>
  <c r="BQ20" s="1"/>
  <c r="T18"/>
  <c r="T22" s="1"/>
  <c r="T23" s="1"/>
  <c r="T24" s="1"/>
  <c r="T26" s="1"/>
  <c r="T152" s="1"/>
  <c r="T17"/>
  <c r="T19" s="1"/>
  <c r="T20" s="1"/>
  <c r="T21" s="1"/>
  <c r="T25" s="1"/>
  <c r="T46" s="1"/>
  <c r="T47" s="1"/>
  <c r="T48" s="1"/>
  <c r="T49" s="1"/>
  <c r="T50" s="1"/>
  <c r="T51" s="1"/>
  <c r="T52" s="1"/>
  <c r="T53" s="1"/>
  <c r="T54" s="1"/>
  <c r="T55" s="1"/>
  <c r="T56" s="1"/>
  <c r="T57" s="1"/>
  <c r="T58" s="1"/>
  <c r="T59" s="1"/>
  <c r="T60" s="1"/>
  <c r="T61" s="1"/>
  <c r="T62" s="1"/>
  <c r="T63" s="1"/>
  <c r="T64" s="1"/>
  <c r="T65" s="1"/>
  <c r="T66" s="1"/>
  <c r="T67" s="1"/>
  <c r="T68" s="1"/>
  <c r="T69" s="1"/>
  <c r="T70" s="1"/>
  <c r="T71" s="1"/>
  <c r="T72" s="1"/>
  <c r="T73" s="1"/>
  <c r="T74" s="1"/>
  <c r="T75" s="1"/>
  <c r="T76" s="1"/>
  <c r="T77" s="1"/>
  <c r="T78" s="1"/>
  <c r="T79" s="1"/>
  <c r="T80" s="1"/>
  <c r="T81" s="1"/>
  <c r="T82" s="1"/>
  <c r="T83" s="1"/>
  <c r="T84" s="1"/>
  <c r="T85" s="1"/>
  <c r="T86" s="1"/>
  <c r="T87" s="1"/>
  <c r="T88" s="1"/>
  <c r="T89" s="1"/>
  <c r="T90" s="1"/>
  <c r="T91" s="1"/>
  <c r="T92" s="1"/>
  <c r="T93" s="1"/>
  <c r="T94" s="1"/>
  <c r="T95" s="1"/>
  <c r="T96" s="1"/>
  <c r="T97" s="1"/>
  <c r="T98" s="1"/>
  <c r="T99" s="1"/>
  <c r="T100" s="1"/>
  <c r="T101" s="1"/>
  <c r="T102" s="1"/>
  <c r="T103" s="1"/>
  <c r="T107" s="1"/>
  <c r="T108" s="1"/>
  <c r="T109" s="1"/>
  <c r="T110" s="1"/>
  <c r="T111" s="1"/>
  <c r="T112" s="1"/>
  <c r="T113" s="1"/>
  <c r="T114" s="1"/>
  <c r="T115" s="1"/>
  <c r="T116" s="1"/>
  <c r="T117" s="1"/>
  <c r="T118" s="1"/>
  <c r="T119" s="1"/>
  <c r="T120" s="1"/>
  <c r="T121" s="1"/>
  <c r="T122" s="1"/>
  <c r="T123" s="1"/>
  <c r="T124" s="1"/>
  <c r="T125" s="1"/>
  <c r="T126" s="1"/>
  <c r="T127" s="1"/>
  <c r="T128" s="1"/>
  <c r="T129" s="1"/>
  <c r="T130" s="1"/>
  <c r="T131" s="1"/>
  <c r="T132" s="1"/>
  <c r="T133" s="1"/>
  <c r="T134" s="1"/>
  <c r="T135" s="1"/>
  <c r="T136" s="1"/>
  <c r="T137" s="1"/>
  <c r="T138" s="1"/>
  <c r="T139" s="1"/>
  <c r="T140" s="1"/>
  <c r="T141" s="1"/>
  <c r="T142" s="1"/>
  <c r="T143" s="1"/>
  <c r="T144" s="1"/>
  <c r="T145" s="1"/>
  <c r="T146" s="1"/>
  <c r="T147" s="1"/>
  <c r="T150" s="1"/>
  <c r="AJ28"/>
  <c r="AJ21"/>
  <c r="AJ19"/>
  <c r="AJ24" s="1"/>
  <c r="AJ25" s="1"/>
  <c r="AJ22"/>
  <c r="AJ26"/>
  <c r="CF20"/>
  <c r="CF32" s="1"/>
  <c r="CF33" s="1"/>
  <c r="CF34" s="1"/>
  <c r="CF35" s="1"/>
  <c r="CF89" s="1"/>
  <c r="CF90" s="1"/>
  <c r="AW65" s="1"/>
  <c r="AV65"/>
  <c r="DE20"/>
  <c r="DE24" s="1"/>
  <c r="DE25" s="1"/>
  <c r="DE32" s="1"/>
  <c r="CM29"/>
  <c r="CM30" s="1"/>
  <c r="CM31" s="1"/>
  <c r="CM88" s="1"/>
  <c r="CF66"/>
  <c r="CF56"/>
  <c r="AV66"/>
  <c r="AV67"/>
  <c r="CF21"/>
  <c r="CM20" s="1"/>
  <c r="CM36" s="1"/>
  <c r="CM37" s="1"/>
  <c r="CF80"/>
  <c r="CF51"/>
  <c r="CF55"/>
  <c r="CF67"/>
  <c r="CF53"/>
  <c r="CF54" s="1"/>
  <c r="B1216"/>
  <c r="AJ65" s="1"/>
  <c r="B1217"/>
  <c r="AJ68" s="1"/>
  <c r="AJ78"/>
  <c r="AJ79" s="1"/>
  <c r="AJ55"/>
  <c r="CP19" l="1"/>
  <c r="CP63" s="1"/>
  <c r="CM18" s="1"/>
  <c r="CM33"/>
  <c r="AY65" s="1"/>
  <c r="CT24"/>
  <c r="CT25" s="1"/>
  <c r="CT26" s="1"/>
  <c r="CT27" s="1"/>
  <c r="CT28" s="1"/>
  <c r="CT29" s="1"/>
  <c r="CT30" s="1"/>
  <c r="CT31" s="1"/>
  <c r="CT32" s="1"/>
  <c r="CT33" s="1"/>
  <c r="CT34" s="1"/>
  <c r="CT35" s="1"/>
  <c r="CT36" s="1"/>
  <c r="CT39" s="1"/>
  <c r="CM100"/>
  <c r="CM101" s="1"/>
  <c r="CM102" s="1"/>
  <c r="CM103" s="1"/>
  <c r="CM104" s="1"/>
  <c r="CF68"/>
  <c r="CF69" s="1"/>
  <c r="AV78"/>
  <c r="L126" i="2" s="1"/>
  <c r="M112"/>
  <c r="AJ31" i="1"/>
  <c r="AQ74" s="1"/>
  <c r="F122" i="2" s="1"/>
  <c r="AJ30" i="1"/>
  <c r="AQ75" s="1"/>
  <c r="F123" i="2" s="1"/>
  <c r="T151" i="1"/>
  <c r="T153"/>
  <c r="DE27"/>
  <c r="DE26"/>
  <c r="DE29" s="1"/>
  <c r="CM39"/>
  <c r="CM40"/>
  <c r="CM41"/>
  <c r="CM42" s="1"/>
  <c r="CM34"/>
  <c r="CF57"/>
  <c r="CG59"/>
  <c r="CG60"/>
  <c r="CF75"/>
  <c r="CF81" s="1"/>
  <c r="CF87" s="1"/>
  <c r="CM23" s="1"/>
  <c r="CM68" s="1"/>
  <c r="CF73"/>
  <c r="CF85" s="1"/>
  <c r="CM21" s="1"/>
  <c r="AJ69"/>
  <c r="AJ72" s="1"/>
  <c r="AJ66"/>
  <c r="AJ71" s="1"/>
  <c r="AJ63"/>
  <c r="AJ61"/>
  <c r="AJ58"/>
  <c r="AJ62"/>
  <c r="AJ59"/>
  <c r="AJ57"/>
  <c r="T154" l="1"/>
  <c r="T155" s="1"/>
  <c r="B5" s="1"/>
  <c r="B6" s="1"/>
  <c r="B7" s="1"/>
  <c r="B8" s="1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B1001" s="1"/>
  <c r="B1002" s="1"/>
  <c r="B1003" s="1"/>
  <c r="B1004" s="1"/>
  <c r="B1005" s="1"/>
  <c r="B1006" s="1"/>
  <c r="B1007" s="1"/>
  <c r="B1008" s="1"/>
  <c r="B1009" s="1"/>
  <c r="B1010" s="1"/>
  <c r="B1011" s="1"/>
  <c r="B1012" s="1"/>
  <c r="B1013" s="1"/>
  <c r="B1014" s="1"/>
  <c r="B1015" s="1"/>
  <c r="B1016" s="1"/>
  <c r="B1017" s="1"/>
  <c r="B1018" s="1"/>
  <c r="B1019" s="1"/>
  <c r="B1020" s="1"/>
  <c r="B1021" s="1"/>
  <c r="B1022" s="1"/>
  <c r="B1023" s="1"/>
  <c r="B1024" s="1"/>
  <c r="B1025" s="1"/>
  <c r="B1026" s="1"/>
  <c r="B1027" s="1"/>
  <c r="B1028" s="1"/>
  <c r="B1029" s="1"/>
  <c r="B1030" s="1"/>
  <c r="B1031" s="1"/>
  <c r="B1032" s="1"/>
  <c r="B1033" s="1"/>
  <c r="B1034" s="1"/>
  <c r="B1035" s="1"/>
  <c r="B1036" s="1"/>
  <c r="B1037" s="1"/>
  <c r="B1038" s="1"/>
  <c r="B1039" s="1"/>
  <c r="B1040" s="1"/>
  <c r="B1041" s="1"/>
  <c r="B1042" s="1"/>
  <c r="B1043" s="1"/>
  <c r="B1044" s="1"/>
  <c r="B1045" s="1"/>
  <c r="B1046" s="1"/>
  <c r="B1047" s="1"/>
  <c r="B1048" s="1"/>
  <c r="B1049" s="1"/>
  <c r="B1050" s="1"/>
  <c r="B1051" s="1"/>
  <c r="B1052" s="1"/>
  <c r="B1053" s="1"/>
  <c r="B1054" s="1"/>
  <c r="B1055" s="1"/>
  <c r="B1056" s="1"/>
  <c r="B1057" s="1"/>
  <c r="B1058" s="1"/>
  <c r="B1059" s="1"/>
  <c r="B1060" s="1"/>
  <c r="B1061" s="1"/>
  <c r="B1062" s="1"/>
  <c r="B1063" s="1"/>
  <c r="B1064" s="1"/>
  <c r="B1065" s="1"/>
  <c r="B1066" s="1"/>
  <c r="B1067" s="1"/>
  <c r="B1068" s="1"/>
  <c r="B1069" s="1"/>
  <c r="B1070" s="1"/>
  <c r="B1071" s="1"/>
  <c r="B1072" s="1"/>
  <c r="B1073" s="1"/>
  <c r="B1074" s="1"/>
  <c r="B1075" s="1"/>
  <c r="B1076" s="1"/>
  <c r="B1077" s="1"/>
  <c r="B1078" s="1"/>
  <c r="B1079" s="1"/>
  <c r="B1080" s="1"/>
  <c r="B1081" s="1"/>
  <c r="B1082" s="1"/>
  <c r="B1083" s="1"/>
  <c r="B1084" s="1"/>
  <c r="B1085" s="1"/>
  <c r="B1086" s="1"/>
  <c r="B1087" s="1"/>
  <c r="B1088" s="1"/>
  <c r="B1089" s="1"/>
  <c r="B1090" s="1"/>
  <c r="B1091" s="1"/>
  <c r="B1092" s="1"/>
  <c r="B1093" s="1"/>
  <c r="B1094" s="1"/>
  <c r="B1095" s="1"/>
  <c r="B1096" s="1"/>
  <c r="B1097" s="1"/>
  <c r="B1098" s="1"/>
  <c r="B1099" s="1"/>
  <c r="B1100" s="1"/>
  <c r="B1101" s="1"/>
  <c r="B1102" s="1"/>
  <c r="B1103" s="1"/>
  <c r="B1104" s="1"/>
  <c r="B1105" s="1"/>
  <c r="B1106" s="1"/>
  <c r="B1107" s="1"/>
  <c r="B1108" s="1"/>
  <c r="B1109" s="1"/>
  <c r="B1110" s="1"/>
  <c r="B1111" s="1"/>
  <c r="B1112" s="1"/>
  <c r="B1113" s="1"/>
  <c r="B1114" s="1"/>
  <c r="B1115" s="1"/>
  <c r="B1116" s="1"/>
  <c r="B1117" s="1"/>
  <c r="B1118" s="1"/>
  <c r="B1119" s="1"/>
  <c r="B1120" s="1"/>
  <c r="B1121" s="1"/>
  <c r="B1122" s="1"/>
  <c r="B1123" s="1"/>
  <c r="B1124" s="1"/>
  <c r="B1125" s="1"/>
  <c r="B1126" s="1"/>
  <c r="B1127" s="1"/>
  <c r="B1128" s="1"/>
  <c r="B1129" s="1"/>
  <c r="B1130" s="1"/>
  <c r="B1131" s="1"/>
  <c r="B1132" s="1"/>
  <c r="B1133" s="1"/>
  <c r="B1134" s="1"/>
  <c r="B1135" s="1"/>
  <c r="B1136" s="1"/>
  <c r="B1137" s="1"/>
  <c r="B1138" s="1"/>
  <c r="B1139" s="1"/>
  <c r="B1140" s="1"/>
  <c r="B1141" s="1"/>
  <c r="B1142" s="1"/>
  <c r="B1143" s="1"/>
  <c r="B1144" s="1"/>
  <c r="B1145" s="1"/>
  <c r="B1146" s="1"/>
  <c r="B1147" s="1"/>
  <c r="B1148" s="1"/>
  <c r="B1149" s="1"/>
  <c r="B1150" s="1"/>
  <c r="B1151" s="1"/>
  <c r="B1152" s="1"/>
  <c r="B1153" s="1"/>
  <c r="B1154" s="1"/>
  <c r="B1155" s="1"/>
  <c r="B1156" s="1"/>
  <c r="B1157" s="1"/>
  <c r="B1158" s="1"/>
  <c r="B1159" s="1"/>
  <c r="B1160" s="1"/>
  <c r="B1161" s="1"/>
  <c r="B1162" s="1"/>
  <c r="B1163" s="1"/>
  <c r="B1164" s="1"/>
  <c r="B1165" s="1"/>
  <c r="B1166" s="1"/>
  <c r="B1167" s="1"/>
  <c r="B1168" s="1"/>
  <c r="B1169" s="1"/>
  <c r="B1170" s="1"/>
  <c r="B1171" s="1"/>
  <c r="B1172" s="1"/>
  <c r="B1173" s="1"/>
  <c r="B1174" s="1"/>
  <c r="B1175" s="1"/>
  <c r="B1176" s="1"/>
  <c r="B1177" s="1"/>
  <c r="B1178" s="1"/>
  <c r="B1179" s="1"/>
  <c r="B1180" s="1"/>
  <c r="B1181" s="1"/>
  <c r="B1182" s="1"/>
  <c r="B1183" s="1"/>
  <c r="B1184" s="1"/>
  <c r="B1185" s="1"/>
  <c r="B1186" s="1"/>
  <c r="B1187" s="1"/>
  <c r="B1188" s="1"/>
  <c r="B1189" s="1"/>
  <c r="B1190" s="1"/>
  <c r="B1191" s="1"/>
  <c r="B1192" s="1"/>
  <c r="B1193" s="1"/>
  <c r="B1194" s="1"/>
  <c r="B1195" s="1"/>
  <c r="B1196" s="1"/>
  <c r="B1197" s="1"/>
  <c r="B1198" s="1"/>
  <c r="B1199" s="1"/>
  <c r="B1200" s="1"/>
  <c r="B1201" s="1"/>
  <c r="B1202" s="1"/>
  <c r="B1203" s="1"/>
  <c r="B1204" s="1"/>
  <c r="B1205" s="1"/>
  <c r="B1206" s="1"/>
  <c r="B1207" s="1"/>
  <c r="B1208" s="1"/>
  <c r="B1209" s="1"/>
  <c r="AJ74" s="1"/>
  <c r="AJ75" s="1"/>
  <c r="DE28"/>
  <c r="DE30" s="1"/>
  <c r="DE34"/>
  <c r="DE33"/>
  <c r="DE38"/>
  <c r="CM43"/>
  <c r="CF62"/>
  <c r="CF74" s="1"/>
  <c r="CF86" s="1"/>
  <c r="CM22" s="1"/>
  <c r="CM58" s="1"/>
  <c r="CM59" s="1"/>
  <c r="CF61"/>
  <c r="CG61" s="1"/>
  <c r="CX43"/>
  <c r="CY59" s="1"/>
  <c r="CX22"/>
  <c r="DE39" l="1"/>
  <c r="DE40" s="1"/>
  <c r="B1214"/>
  <c r="AJ50" s="1"/>
  <c r="B1213"/>
  <c r="AJ47" s="1"/>
  <c r="AJ37"/>
  <c r="AJ39" s="1"/>
  <c r="AJ76"/>
  <c r="AS61" s="1"/>
  <c r="I107" i="2" s="1"/>
  <c r="DE15" i="1"/>
  <c r="AW66"/>
  <c r="M113" i="2" s="1"/>
  <c r="DE35" i="1"/>
  <c r="DE134" s="1"/>
  <c r="CX59"/>
  <c r="CM47"/>
  <c r="CM46"/>
  <c r="CM48"/>
  <c r="CM49"/>
  <c r="CM50" s="1"/>
  <c r="DE133" s="1"/>
  <c r="CM53"/>
  <c r="CM54" s="1"/>
  <c r="CM55" s="1"/>
  <c r="CM56" s="1"/>
  <c r="CM44"/>
  <c r="CM45"/>
  <c r="CX38"/>
  <c r="CY38"/>
  <c r="CY63" s="1"/>
  <c r="CM24" s="1"/>
  <c r="CM86" l="1"/>
  <c r="AW67"/>
  <c r="AJ44"/>
  <c r="BI11" s="1"/>
  <c r="BK11" s="1"/>
  <c r="DE43"/>
  <c r="DE68"/>
  <c r="DE82" s="1"/>
  <c r="DE104" s="1"/>
  <c r="DE44"/>
  <c r="AJ41"/>
  <c r="BE12" s="1"/>
  <c r="BG13" s="1"/>
  <c r="AJ45"/>
  <c r="AJ48"/>
  <c r="AJ53" s="1"/>
  <c r="AV76" s="1"/>
  <c r="L124" i="2" s="1"/>
  <c r="AJ40" i="1"/>
  <c r="AJ51"/>
  <c r="AJ54" s="1"/>
  <c r="AV77" s="1"/>
  <c r="L125" i="2" s="1"/>
  <c r="AJ43" i="1"/>
  <c r="BE10"/>
  <c r="CX63"/>
  <c r="CM57"/>
  <c r="CM60" s="1"/>
  <c r="CM61" s="1"/>
  <c r="CM63" s="1"/>
  <c r="CM64" s="1"/>
  <c r="CM69" s="1"/>
  <c r="CM73" s="1"/>
  <c r="BX63" l="1"/>
  <c r="BG9"/>
  <c r="BG31" s="1"/>
  <c r="M114" i="2"/>
  <c r="BE11" i="1"/>
  <c r="BG11" s="1"/>
  <c r="BG32" s="1"/>
  <c r="BI10"/>
  <c r="BK9" s="1"/>
  <c r="BK31" s="1"/>
  <c r="AV48"/>
  <c r="DF141" s="1"/>
  <c r="DF142" s="1"/>
  <c r="DF143" s="1"/>
  <c r="BI12"/>
  <c r="BK13" s="1"/>
  <c r="BK33" s="1"/>
  <c r="BG10"/>
  <c r="BK32"/>
  <c r="BK12"/>
  <c r="BG33"/>
  <c r="BG14"/>
  <c r="CM71"/>
  <c r="CM70"/>
  <c r="BE14" l="1"/>
  <c r="BG12"/>
  <c r="BG16" s="1"/>
  <c r="BK10"/>
  <c r="BK15" s="1"/>
  <c r="BK14"/>
  <c r="BK26" s="1"/>
  <c r="BK27" s="1"/>
  <c r="BK34"/>
  <c r="BK35" s="1"/>
  <c r="BI35" s="1"/>
  <c r="BG34"/>
  <c r="BG35" s="1"/>
  <c r="BG26"/>
  <c r="BG21"/>
  <c r="BG17"/>
  <c r="BK16"/>
  <c r="BK20"/>
  <c r="BG15"/>
  <c r="BG19"/>
  <c r="CM72"/>
  <c r="CM74" s="1"/>
  <c r="CM75" s="1"/>
  <c r="BE15" l="1"/>
  <c r="CF29" s="1"/>
  <c r="DE42" s="1"/>
  <c r="DE51" s="1"/>
  <c r="DE52" s="1"/>
  <c r="BE35"/>
  <c r="BG20"/>
  <c r="BG22" s="1"/>
  <c r="BG24" s="1"/>
  <c r="BG27"/>
  <c r="BG28" s="1"/>
  <c r="BG37" s="1"/>
  <c r="BE37" s="1"/>
  <c r="BK19"/>
  <c r="BK28"/>
  <c r="BK38" s="1"/>
  <c r="BI38" s="1"/>
  <c r="BK21"/>
  <c r="BK17"/>
  <c r="BK18" s="1"/>
  <c r="BK23" s="1"/>
  <c r="BG18"/>
  <c r="BG23" s="1"/>
  <c r="BK22" l="1"/>
  <c r="BK24" s="1"/>
  <c r="BK25" s="1"/>
  <c r="BK36" s="1"/>
  <c r="BI36" s="1"/>
  <c r="BG38"/>
  <c r="BE38" s="1"/>
  <c r="BK37"/>
  <c r="BI37" s="1"/>
  <c r="BG25"/>
  <c r="BG36" s="1"/>
  <c r="BE36" l="1"/>
  <c r="BE41" s="1"/>
  <c r="AT35" s="1"/>
  <c r="BI41"/>
  <c r="BI29" s="1"/>
  <c r="BN28" s="1"/>
  <c r="BN31" s="1"/>
  <c r="BN32" s="1"/>
  <c r="AT34" l="1"/>
  <c r="AV34" s="1"/>
  <c r="AY68" s="1"/>
  <c r="O115" i="2" s="1"/>
  <c r="AW35" i="1"/>
  <c r="BE29"/>
  <c r="BE33" s="1"/>
  <c r="AT36"/>
  <c r="BE49"/>
  <c r="AP62" s="1"/>
  <c r="F108" i="2" s="1"/>
  <c r="AV35" i="1"/>
  <c r="AY69" s="1"/>
  <c r="O116" i="2" s="1"/>
  <c r="BG39" i="1"/>
  <c r="BE53"/>
  <c r="BN14"/>
  <c r="BN30" s="1"/>
  <c r="BI49"/>
  <c r="AP63" s="1"/>
  <c r="F109" i="2" s="1"/>
  <c r="BK39" i="1"/>
  <c r="BK40" s="1"/>
  <c r="BK42" s="1"/>
  <c r="BI50" s="1"/>
  <c r="AV63" s="1"/>
  <c r="L109" i="2" s="1"/>
  <c r="AT40" i="1"/>
  <c r="BG40" l="1"/>
  <c r="BG42" s="1"/>
  <c r="BE50" s="1"/>
  <c r="AV62" s="1"/>
  <c r="L108" i="2" s="1"/>
  <c r="CF28" i="1"/>
  <c r="CM26" s="1"/>
  <c r="CM78" s="1"/>
  <c r="CM79" s="1"/>
  <c r="CM80" s="1"/>
  <c r="CM82" s="1"/>
  <c r="CM154"/>
  <c r="CM155" s="1"/>
  <c r="DK38"/>
  <c r="DK41" s="1"/>
  <c r="AT14"/>
  <c r="AT15" s="1"/>
  <c r="AV40"/>
  <c r="AY73" s="1"/>
  <c r="O120" i="2" s="1"/>
  <c r="AW40" i="1"/>
  <c r="AT37"/>
  <c r="AW37" s="1"/>
  <c r="AW36"/>
  <c r="BN13"/>
  <c r="BN26" s="1"/>
  <c r="DK71"/>
  <c r="DK32" s="1"/>
  <c r="AV36"/>
  <c r="AY70" s="1"/>
  <c r="O117" i="2" s="1"/>
  <c r="DE132" i="1"/>
  <c r="DE135" s="1"/>
  <c r="DF137" s="1"/>
  <c r="DF138" s="1"/>
  <c r="AT39"/>
  <c r="AV39" s="1"/>
  <c r="AY72" s="1"/>
  <c r="O119" i="2" s="1"/>
  <c r="AT41" i="1"/>
  <c r="AW41" s="1"/>
  <c r="BN29"/>
  <c r="DK40" l="1"/>
  <c r="CM89"/>
  <c r="CM93" s="1"/>
  <c r="CM94" s="1"/>
  <c r="CM105" s="1"/>
  <c r="CM106" s="1"/>
  <c r="BN55"/>
  <c r="BN56" s="1"/>
  <c r="DK39"/>
  <c r="AV37"/>
  <c r="AY71" s="1"/>
  <c r="O118" i="2" s="1"/>
  <c r="DK37" i="1"/>
  <c r="DK36"/>
  <c r="DK35"/>
  <c r="CN157"/>
  <c r="CN158"/>
  <c r="CN156"/>
  <c r="AS45"/>
  <c r="AS47" s="1"/>
  <c r="AT73" s="1"/>
  <c r="J121" i="2" s="1"/>
  <c r="DW71" i="1"/>
  <c r="DK76"/>
  <c r="DK75"/>
  <c r="DK74"/>
  <c r="CM83"/>
  <c r="AV41"/>
  <c r="AY74" s="1"/>
  <c r="O121" i="2" s="1"/>
  <c r="AT42" i="1"/>
  <c r="AW42" s="1"/>
  <c r="BN35"/>
  <c r="BN34"/>
  <c r="BN27"/>
  <c r="BN33" s="1"/>
  <c r="DF139"/>
  <c r="AT16"/>
  <c r="CM95" l="1"/>
  <c r="BN61"/>
  <c r="BN59"/>
  <c r="BN60" s="1"/>
  <c r="BN57"/>
  <c r="BN58" s="1"/>
  <c r="AS46"/>
  <c r="AT72" s="1"/>
  <c r="J120" i="2" s="1"/>
  <c r="AS49" i="1"/>
  <c r="AS68" s="1"/>
  <c r="I116" i="2" s="1"/>
  <c r="AS48" i="1"/>
  <c r="AT74" s="1"/>
  <c r="J122" i="2" s="1"/>
  <c r="DW76" i="1"/>
  <c r="DW75"/>
  <c r="DW74"/>
  <c r="AV42"/>
  <c r="AY75" s="1"/>
  <c r="O122" i="2" s="1"/>
  <c r="BN36" i="1"/>
  <c r="BN46" s="1"/>
  <c r="AT18"/>
  <c r="BN62" l="1"/>
  <c r="BN81" s="1"/>
  <c r="BN37"/>
  <c r="AT19"/>
  <c r="BN38" l="1"/>
  <c r="BN41" s="1"/>
  <c r="BN20" s="1"/>
  <c r="BQ14" s="1"/>
  <c r="BQ25" s="1"/>
  <c r="BT16" s="1"/>
  <c r="AT20"/>
  <c r="BT25" l="1"/>
  <c r="BT24"/>
  <c r="BN44"/>
  <c r="BN45" s="1"/>
  <c r="BN47" s="1"/>
  <c r="BN48" s="1"/>
  <c r="BN49" s="1"/>
  <c r="BN50" s="1"/>
  <c r="BN51" s="1"/>
  <c r="BN52" s="1"/>
  <c r="BN78" s="1"/>
  <c r="BN71" l="1"/>
  <c r="BN74" s="1"/>
  <c r="BN84" s="1"/>
  <c r="BN77"/>
  <c r="BN79" s="1"/>
  <c r="BN85" s="1"/>
  <c r="BN66"/>
  <c r="BN67" s="1"/>
  <c r="BN68" s="1"/>
  <c r="BN82" s="1"/>
  <c r="BN83" l="1"/>
  <c r="BN86" s="1"/>
  <c r="BN19" s="1"/>
  <c r="BQ13" s="1"/>
  <c r="BQ21" s="1"/>
  <c r="BQ22" s="1"/>
  <c r="BQ23" s="1"/>
  <c r="BQ24" s="1"/>
  <c r="BT15" s="1"/>
  <c r="BT22" s="1"/>
  <c r="BT27" s="1"/>
  <c r="BT29" s="1"/>
  <c r="BT30" s="1"/>
  <c r="BT37" s="1"/>
  <c r="BT47" l="1"/>
  <c r="BT48" s="1"/>
  <c r="BT31"/>
  <c r="BT32" s="1"/>
  <c r="BT11" s="1"/>
  <c r="BN10" s="1"/>
  <c r="BT28"/>
  <c r="BT38" s="1"/>
  <c r="BT49" l="1"/>
  <c r="BT50" s="1"/>
  <c r="BT53"/>
  <c r="BT51"/>
  <c r="BT52" s="1"/>
  <c r="DW20"/>
  <c r="EE51" s="1"/>
  <c r="DU63"/>
  <c r="DW55" s="1"/>
  <c r="DW56" s="1"/>
  <c r="BT35"/>
  <c r="BT36" s="1"/>
  <c r="BT39" s="1"/>
  <c r="BT40" s="1"/>
  <c r="BT41" s="1"/>
  <c r="BT42" s="1"/>
  <c r="BT43" s="1"/>
  <c r="BT44" s="1"/>
  <c r="BT45" s="1"/>
  <c r="BT63" s="1"/>
  <c r="BT78" s="1"/>
  <c r="DE21"/>
  <c r="DE46" s="1"/>
  <c r="CM90"/>
  <c r="DW18" l="1"/>
  <c r="DW19" s="1"/>
  <c r="DW21" s="1"/>
  <c r="DZ16" s="1"/>
  <c r="DZ17" s="1"/>
  <c r="BT54"/>
  <c r="BT76" s="1"/>
  <c r="DE45"/>
  <c r="DE119" s="1"/>
  <c r="DW57"/>
  <c r="DW58" s="1"/>
  <c r="DW60" s="1"/>
  <c r="DW59"/>
  <c r="EE90" s="1"/>
  <c r="EE53"/>
  <c r="EE52"/>
  <c r="DE69"/>
  <c r="DE105" s="1"/>
  <c r="DE106" s="1"/>
  <c r="CM97"/>
  <c r="CM96"/>
  <c r="CM107" s="1"/>
  <c r="BT70"/>
  <c r="BT66"/>
  <c r="BT79" s="1"/>
  <c r="BT69"/>
  <c r="BT58"/>
  <c r="BT59" s="1"/>
  <c r="BT60" s="1"/>
  <c r="BT77" s="1"/>
  <c r="DE86"/>
  <c r="BT71" l="1"/>
  <c r="BT72" s="1"/>
  <c r="BT80" s="1"/>
  <c r="BT81" s="1"/>
  <c r="BT10" s="1"/>
  <c r="BN9" s="1"/>
  <c r="DI63" s="1"/>
  <c r="DK55" s="1"/>
  <c r="DK56" s="1"/>
  <c r="DE53"/>
  <c r="EE92"/>
  <c r="EE91"/>
  <c r="DZ55"/>
  <c r="DZ56" s="1"/>
  <c r="EA17"/>
  <c r="DZ18"/>
  <c r="DE83"/>
  <c r="DE84" s="1"/>
  <c r="DE73"/>
  <c r="DE74" s="1"/>
  <c r="CM108"/>
  <c r="CM109" s="1"/>
  <c r="CM111" s="1"/>
  <c r="DE87" l="1"/>
  <c r="DE88" s="1"/>
  <c r="DZ57"/>
  <c r="EA56"/>
  <c r="DK59"/>
  <c r="DS90" s="1"/>
  <c r="DK57"/>
  <c r="DK58" s="1"/>
  <c r="DK60" s="1"/>
  <c r="EA18"/>
  <c r="DZ19"/>
  <c r="DE110"/>
  <c r="CM110"/>
  <c r="CM112" s="1"/>
  <c r="CM115" s="1"/>
  <c r="CM119" s="1"/>
  <c r="CM121" s="1"/>
  <c r="DE89" l="1"/>
  <c r="DZ58"/>
  <c r="EA57"/>
  <c r="DN55"/>
  <c r="DN56" s="1"/>
  <c r="DS92"/>
  <c r="DS91"/>
  <c r="EA19"/>
  <c r="DZ20"/>
  <c r="CM122"/>
  <c r="CM123" s="1"/>
  <c r="CM116"/>
  <c r="DE90"/>
  <c r="DE91" s="1"/>
  <c r="DE92" s="1"/>
  <c r="CM124" l="1"/>
  <c r="CM125" s="1"/>
  <c r="CM128" s="1"/>
  <c r="CM134" s="1"/>
  <c r="CM135" s="1"/>
  <c r="DZ59"/>
  <c r="EA58"/>
  <c r="DO56"/>
  <c r="DN57"/>
  <c r="EA20"/>
  <c r="DZ21"/>
  <c r="DE93"/>
  <c r="CN153" l="1"/>
  <c r="CM153" s="1"/>
  <c r="CN151"/>
  <c r="CM151" s="1"/>
  <c r="CN152"/>
  <c r="CM136"/>
  <c r="CM137" s="1"/>
  <c r="CN138" s="1"/>
  <c r="CN139" s="1"/>
  <c r="CM131"/>
  <c r="DE22" s="1"/>
  <c r="DE48" s="1"/>
  <c r="DE120" s="1"/>
  <c r="DE121" s="1"/>
  <c r="DE122" s="1"/>
  <c r="DI24"/>
  <c r="DK16" s="1"/>
  <c r="DK17" s="1"/>
  <c r="DK18" s="1"/>
  <c r="DK19" s="1"/>
  <c r="DK21" s="1"/>
  <c r="DN16" s="1"/>
  <c r="DN17" s="1"/>
  <c r="DN18" s="1"/>
  <c r="DN19" s="1"/>
  <c r="DO19" s="1"/>
  <c r="DZ60"/>
  <c r="EA59"/>
  <c r="DN58"/>
  <c r="DO57"/>
  <c r="EA21"/>
  <c r="DZ22"/>
  <c r="DE95" l="1"/>
  <c r="DN20"/>
  <c r="DO20" s="1"/>
  <c r="DO18"/>
  <c r="CN140"/>
  <c r="CO139"/>
  <c r="DE47"/>
  <c r="DE55" s="1"/>
  <c r="DE70"/>
  <c r="DO17"/>
  <c r="DK20"/>
  <c r="DS51" s="1"/>
  <c r="DS52" s="1"/>
  <c r="DZ61"/>
  <c r="EA60"/>
  <c r="DN59"/>
  <c r="DO58"/>
  <c r="EA22"/>
  <c r="DZ23"/>
  <c r="DE54"/>
  <c r="DE56" s="1"/>
  <c r="DE129"/>
  <c r="DE138" s="1"/>
  <c r="DE142" s="1"/>
  <c r="DE16" s="1"/>
  <c r="AX74" s="1"/>
  <c r="DE126"/>
  <c r="DE130" s="1"/>
  <c r="DE139" s="1"/>
  <c r="DE143" s="1"/>
  <c r="DE57" l="1"/>
  <c r="DE58" s="1"/>
  <c r="DE59" s="1"/>
  <c r="DE60" s="1"/>
  <c r="DE61" s="1"/>
  <c r="DN21"/>
  <c r="DN22" s="1"/>
  <c r="CN141"/>
  <c r="CO140"/>
  <c r="DS53"/>
  <c r="DE17"/>
  <c r="AU75" s="1"/>
  <c r="L123" i="2" s="1"/>
  <c r="DZ62" i="1"/>
  <c r="EA61"/>
  <c r="DN60"/>
  <c r="DO59"/>
  <c r="EA23"/>
  <c r="DZ24"/>
  <c r="DE107"/>
  <c r="DE108" s="1"/>
  <c r="DD115" s="1"/>
  <c r="N122" i="2"/>
  <c r="AS89" i="1"/>
  <c r="DO21" l="1"/>
  <c r="DE94"/>
  <c r="DE75"/>
  <c r="DE76" s="1"/>
  <c r="DE77" s="1"/>
  <c r="DE79" s="1"/>
  <c r="DD113" s="1"/>
  <c r="CN142"/>
  <c r="CO141"/>
  <c r="DZ63"/>
  <c r="EA62"/>
  <c r="DO60"/>
  <c r="DN61"/>
  <c r="EA24"/>
  <c r="DZ25"/>
  <c r="EA25" s="1"/>
  <c r="DN23"/>
  <c r="DO22"/>
  <c r="EA26" l="1"/>
  <c r="EA27" s="1"/>
  <c r="DZ28" s="1"/>
  <c r="DZ29" s="1"/>
  <c r="EA29" s="1"/>
  <c r="DE96"/>
  <c r="DE97"/>
  <c r="CN143"/>
  <c r="CO142"/>
  <c r="DZ64"/>
  <c r="EA64" s="1"/>
  <c r="EA63"/>
  <c r="DO61"/>
  <c r="DN62"/>
  <c r="DN24"/>
  <c r="DO23"/>
  <c r="DZ30" l="1"/>
  <c r="EA30" s="1"/>
  <c r="DE98"/>
  <c r="DE99" s="1"/>
  <c r="DE100" s="1"/>
  <c r="DE101" s="1"/>
  <c r="DD114" s="1"/>
  <c r="DE116" s="1"/>
  <c r="DE128" s="1"/>
  <c r="DE137" s="1"/>
  <c r="DE141" s="1"/>
  <c r="DE14" s="1"/>
  <c r="AV74" s="1"/>
  <c r="CN144"/>
  <c r="CO143"/>
  <c r="EA65"/>
  <c r="EA66" s="1"/>
  <c r="DZ67" s="1"/>
  <c r="DZ68" s="1"/>
  <c r="EA68" s="1"/>
  <c r="DO62"/>
  <c r="DN63"/>
  <c r="DN25"/>
  <c r="DO25" s="1"/>
  <c r="DO24"/>
  <c r="DZ31" l="1"/>
  <c r="DZ32" s="1"/>
  <c r="L122" i="2"/>
  <c r="AS88" i="1"/>
  <c r="CN145"/>
  <c r="CO144"/>
  <c r="DZ69"/>
  <c r="EA69" s="1"/>
  <c r="DO63"/>
  <c r="DN64"/>
  <c r="DO64" s="1"/>
  <c r="DO26"/>
  <c r="DO27" s="1"/>
  <c r="DN28" s="1"/>
  <c r="DN29" s="1"/>
  <c r="DO29" s="1"/>
  <c r="EA31" l="1"/>
  <c r="CN146"/>
  <c r="CO145"/>
  <c r="DZ70"/>
  <c r="DZ71" s="1"/>
  <c r="DO65"/>
  <c r="DO66" s="1"/>
  <c r="DN67" s="1"/>
  <c r="DN68" s="1"/>
  <c r="DN69" s="1"/>
  <c r="EA32"/>
  <c r="DZ33"/>
  <c r="DN30"/>
  <c r="DO30" s="1"/>
  <c r="EA70" l="1"/>
  <c r="CN147"/>
  <c r="CO146"/>
  <c r="DO68"/>
  <c r="EA71"/>
  <c r="DZ72"/>
  <c r="DN70"/>
  <c r="DO69"/>
  <c r="DZ34"/>
  <c r="EA33"/>
  <c r="DN31"/>
  <c r="DN32" s="1"/>
  <c r="CN148" l="1"/>
  <c r="CO148" s="1"/>
  <c r="CO147"/>
  <c r="EA72"/>
  <c r="DZ73"/>
  <c r="DN71"/>
  <c r="DO70"/>
  <c r="EA34"/>
  <c r="DZ35"/>
  <c r="DO31"/>
  <c r="DO32"/>
  <c r="DN33"/>
  <c r="CO149" l="1"/>
  <c r="EA73"/>
  <c r="DZ74"/>
  <c r="DO71"/>
  <c r="DN72"/>
  <c r="EA35"/>
  <c r="DZ36"/>
  <c r="DO33"/>
  <c r="DN34"/>
  <c r="CM158" l="1"/>
  <c r="AT81" s="1"/>
  <c r="J129" i="2" s="1"/>
  <c r="CM156" i="1"/>
  <c r="AQ81" s="1"/>
  <c r="F129" i="2" s="1"/>
  <c r="CL152" i="1"/>
  <c r="EA74"/>
  <c r="DZ75"/>
  <c r="DO72"/>
  <c r="DN73"/>
  <c r="EA36"/>
  <c r="DZ37"/>
  <c r="EA37" s="1"/>
  <c r="DN35"/>
  <c r="DO34"/>
  <c r="EA38" l="1"/>
  <c r="EA39" s="1"/>
  <c r="DZ40" s="1"/>
  <c r="DZ41" s="1"/>
  <c r="EA41" s="1"/>
  <c r="CM152"/>
  <c r="CM157" s="1"/>
  <c r="AS81" s="1"/>
  <c r="I129" i="2" s="1"/>
  <c r="EA75" i="1"/>
  <c r="DZ76"/>
  <c r="EA76" s="1"/>
  <c r="DO73"/>
  <c r="DN74"/>
  <c r="DO35"/>
  <c r="DN36"/>
  <c r="DZ42" l="1"/>
  <c r="EA42" s="1"/>
  <c r="EA77"/>
  <c r="EA78" s="1"/>
  <c r="DZ79" s="1"/>
  <c r="DZ80" s="1"/>
  <c r="DZ81" s="1"/>
  <c r="DO74"/>
  <c r="DN75"/>
  <c r="DN37"/>
  <c r="DO37" s="1"/>
  <c r="DO36"/>
  <c r="DZ43" l="1"/>
  <c r="EA43" s="1"/>
  <c r="EA80"/>
  <c r="DZ82"/>
  <c r="EA81"/>
  <c r="DO75"/>
  <c r="DN76"/>
  <c r="DO76" s="1"/>
  <c r="DO38"/>
  <c r="DO39" s="1"/>
  <c r="DN40" s="1"/>
  <c r="DN41" s="1"/>
  <c r="DZ44" l="1"/>
  <c r="DZ45" s="1"/>
  <c r="DO77"/>
  <c r="DO78" s="1"/>
  <c r="DN79" s="1"/>
  <c r="DN80" s="1"/>
  <c r="DO80" s="1"/>
  <c r="DZ83"/>
  <c r="EA82"/>
  <c r="DO41"/>
  <c r="DN42"/>
  <c r="EA44" l="1"/>
  <c r="DN81"/>
  <c r="DO81" s="1"/>
  <c r="EA83"/>
  <c r="DZ84"/>
  <c r="EA45"/>
  <c r="DZ46"/>
  <c r="DO42"/>
  <c r="DN43"/>
  <c r="DN82" l="1"/>
  <c r="DO82" s="1"/>
  <c r="EA84"/>
  <c r="DZ85"/>
  <c r="EA46"/>
  <c r="DZ47"/>
  <c r="DO43"/>
  <c r="DN44"/>
  <c r="DN83" l="1"/>
  <c r="DO83" s="1"/>
  <c r="DZ86"/>
  <c r="EA85"/>
  <c r="DZ48"/>
  <c r="EA47"/>
  <c r="DO44"/>
  <c r="DN45"/>
  <c r="DN84" l="1"/>
  <c r="DO84" s="1"/>
  <c r="EA86"/>
  <c r="DZ87"/>
  <c r="EA48"/>
  <c r="DZ49"/>
  <c r="EA49" s="1"/>
  <c r="DO45"/>
  <c r="DN46"/>
  <c r="EA50" l="1"/>
  <c r="EA51" s="1"/>
  <c r="EA52" s="1"/>
  <c r="EA53" s="1"/>
  <c r="ED16" s="1"/>
  <c r="DN85"/>
  <c r="DO85" s="1"/>
  <c r="EA87"/>
  <c r="DZ88"/>
  <c r="EA88" s="1"/>
  <c r="DO46"/>
  <c r="DN47"/>
  <c r="EE42" l="1"/>
  <c r="DN86"/>
  <c r="DN87" s="1"/>
  <c r="EA89"/>
  <c r="EA90" s="1"/>
  <c r="EE81" s="1"/>
  <c r="DO86"/>
  <c r="EE46"/>
  <c r="ED51"/>
  <c r="DU26" s="1"/>
  <c r="DU30" s="1"/>
  <c r="ED17"/>
  <c r="DO47"/>
  <c r="DN48"/>
  <c r="EA91" l="1"/>
  <c r="EA92" s="1"/>
  <c r="ED55" s="1"/>
  <c r="ED56" s="1"/>
  <c r="EE85"/>
  <c r="ED90"/>
  <c r="DU65" s="1"/>
  <c r="DU69" s="1"/>
  <c r="DU74" s="1"/>
  <c r="AS18" s="1"/>
  <c r="DO87"/>
  <c r="DN88"/>
  <c r="DO88" s="1"/>
  <c r="ED18"/>
  <c r="EE17"/>
  <c r="DO48"/>
  <c r="DN49"/>
  <c r="DO49" s="1"/>
  <c r="DO89" l="1"/>
  <c r="DO90" s="1"/>
  <c r="DS81" s="1"/>
  <c r="EE56"/>
  <c r="ED57"/>
  <c r="EE18"/>
  <c r="ED19"/>
  <c r="DO50"/>
  <c r="DO51" s="1"/>
  <c r="DS42" s="1"/>
  <c r="DO91" l="1"/>
  <c r="DO92" s="1"/>
  <c r="DR55" s="1"/>
  <c r="DR56" s="1"/>
  <c r="EE57"/>
  <c r="ED58"/>
  <c r="DS85"/>
  <c r="DR90"/>
  <c r="DI65" s="1"/>
  <c r="DI69" s="1"/>
  <c r="DI74" s="1"/>
  <c r="ED20"/>
  <c r="EE19"/>
  <c r="DO52"/>
  <c r="DO53" s="1"/>
  <c r="DR16" s="1"/>
  <c r="DR17" s="1"/>
  <c r="DR18" s="1"/>
  <c r="DS46"/>
  <c r="DR51"/>
  <c r="DI26" s="1"/>
  <c r="DI30" s="1"/>
  <c r="AS14" l="1"/>
  <c r="AV14" s="1"/>
  <c r="AS80"/>
  <c r="I128" i="2" s="1"/>
  <c r="AS85" i="1"/>
  <c r="DI35"/>
  <c r="AS35"/>
  <c r="AZ69" s="1"/>
  <c r="P116" i="2" s="1"/>
  <c r="EE58" i="1"/>
  <c r="ED59"/>
  <c r="DR57"/>
  <c r="DS56"/>
  <c r="EE20"/>
  <c r="ED21"/>
  <c r="DS17"/>
  <c r="DS18"/>
  <c r="DR19"/>
  <c r="DI39" l="1"/>
  <c r="EE59"/>
  <c r="ED60"/>
  <c r="DR58"/>
  <c r="DS57"/>
  <c r="EE21"/>
  <c r="ED22"/>
  <c r="DS19"/>
  <c r="DR20"/>
  <c r="EE60" l="1"/>
  <c r="ED61"/>
  <c r="DR59"/>
  <c r="DS58"/>
  <c r="EE22"/>
  <c r="ED23"/>
  <c r="DR21"/>
  <c r="DS20"/>
  <c r="EE61" l="1"/>
  <c r="ED62"/>
  <c r="DR60"/>
  <c r="DS59"/>
  <c r="EE23"/>
  <c r="ED24"/>
  <c r="DS21"/>
  <c r="DR22"/>
  <c r="EE62" l="1"/>
  <c r="ED63"/>
  <c r="DS60"/>
  <c r="DR61"/>
  <c r="EE24"/>
  <c r="ED25"/>
  <c r="EE25" s="1"/>
  <c r="EE26" s="1"/>
  <c r="EE27" s="1"/>
  <c r="ED28" s="1"/>
  <c r="ED29" s="1"/>
  <c r="DS22"/>
  <c r="DR23"/>
  <c r="EE63" l="1"/>
  <c r="ED64"/>
  <c r="EE64" s="1"/>
  <c r="DS61"/>
  <c r="DR62"/>
  <c r="EE29"/>
  <c r="ED30"/>
  <c r="DS23"/>
  <c r="DR24"/>
  <c r="EE65" l="1"/>
  <c r="EE66" s="1"/>
  <c r="ED67" s="1"/>
  <c r="ED68" s="1"/>
  <c r="EE68" s="1"/>
  <c r="DS62"/>
  <c r="DR63"/>
  <c r="EE30"/>
  <c r="ED31"/>
  <c r="DS24"/>
  <c r="DR25"/>
  <c r="DS25" s="1"/>
  <c r="ED69" l="1"/>
  <c r="EE69" s="1"/>
  <c r="DS63"/>
  <c r="DR64"/>
  <c r="DS64" s="1"/>
  <c r="EE31"/>
  <c r="ED32"/>
  <c r="DS26"/>
  <c r="DS27" s="1"/>
  <c r="DR28" s="1"/>
  <c r="DR29" s="1"/>
  <c r="DS29" s="1"/>
  <c r="DS65" l="1"/>
  <c r="DS66" s="1"/>
  <c r="DR67" s="1"/>
  <c r="DR68" s="1"/>
  <c r="DR69" s="1"/>
  <c r="ED70"/>
  <c r="EE70" s="1"/>
  <c r="EE32"/>
  <c r="ED33"/>
  <c r="DR30"/>
  <c r="DR31" s="1"/>
  <c r="DS68" l="1"/>
  <c r="ED71"/>
  <c r="EE71" s="1"/>
  <c r="DS69"/>
  <c r="DR70"/>
  <c r="EE33"/>
  <c r="ED34"/>
  <c r="DS30"/>
  <c r="DR32"/>
  <c r="DS31"/>
  <c r="ED72" l="1"/>
  <c r="EE72" s="1"/>
  <c r="DR71"/>
  <c r="DS70"/>
  <c r="ED35"/>
  <c r="EE34"/>
  <c r="DR33"/>
  <c r="DS32"/>
  <c r="ED73" l="1"/>
  <c r="ED74" s="1"/>
  <c r="DS71"/>
  <c r="DR72"/>
  <c r="EE35"/>
  <c r="ED36"/>
  <c r="DS33"/>
  <c r="DR34"/>
  <c r="EE73" l="1"/>
  <c r="ED75"/>
  <c r="EE74"/>
  <c r="DR73"/>
  <c r="DS72"/>
  <c r="EE36"/>
  <c r="ED37"/>
  <c r="EE37" s="1"/>
  <c r="DR35"/>
  <c r="DS34"/>
  <c r="EE38" l="1"/>
  <c r="EE39" s="1"/>
  <c r="EE43" s="1"/>
  <c r="ED76"/>
  <c r="EE76" s="1"/>
  <c r="EE75"/>
  <c r="DS73"/>
  <c r="DR74"/>
  <c r="DR36"/>
  <c r="DS35"/>
  <c r="EE40" l="1"/>
  <c r="EE41" s="1"/>
  <c r="EE44" s="1"/>
  <c r="EE77"/>
  <c r="EE78" s="1"/>
  <c r="EE82" s="1"/>
  <c r="DR75"/>
  <c r="DS74"/>
  <c r="EE47"/>
  <c r="ED52"/>
  <c r="DU27" s="1"/>
  <c r="DU31" s="1"/>
  <c r="EE48"/>
  <c r="ED53"/>
  <c r="DU28" s="1"/>
  <c r="DU32" s="1"/>
  <c r="DS36"/>
  <c r="DR37"/>
  <c r="DS37" s="1"/>
  <c r="EE79" l="1"/>
  <c r="EE80" s="1"/>
  <c r="EE83" s="1"/>
  <c r="EE87" s="1"/>
  <c r="EE86"/>
  <c r="ED91"/>
  <c r="DU66" s="1"/>
  <c r="DU70" s="1"/>
  <c r="DU75" s="1"/>
  <c r="AS19" s="1"/>
  <c r="DS75"/>
  <c r="DR76"/>
  <c r="DS76" s="1"/>
  <c r="DS38"/>
  <c r="DS39" s="1"/>
  <c r="DS43" s="1"/>
  <c r="AS41" l="1"/>
  <c r="AZ74" s="1"/>
  <c r="P121" i="2" s="1"/>
  <c r="AV19" i="1"/>
  <c r="DS77"/>
  <c r="DS78" s="1"/>
  <c r="DS79" s="1"/>
  <c r="DS80" s="1"/>
  <c r="DS83" s="1"/>
  <c r="ED92"/>
  <c r="DU67" s="1"/>
  <c r="DU71" s="1"/>
  <c r="DU76" s="1"/>
  <c r="AS20" s="1"/>
  <c r="AS40"/>
  <c r="AZ73" s="1"/>
  <c r="P120" i="2" s="1"/>
  <c r="AV18" i="1"/>
  <c r="DS40"/>
  <c r="DS41" s="1"/>
  <c r="DS44" s="1"/>
  <c r="DS48" s="1"/>
  <c r="DR52"/>
  <c r="DI27" s="1"/>
  <c r="DI31" s="1"/>
  <c r="DS47"/>
  <c r="AT85" l="1"/>
  <c r="DI36"/>
  <c r="DS82"/>
  <c r="DS86" s="1"/>
  <c r="AS42"/>
  <c r="AZ75" s="1"/>
  <c r="P122" i="2" s="1"/>
  <c r="AV20" i="1"/>
  <c r="DS87"/>
  <c r="DR92"/>
  <c r="DI67" s="1"/>
  <c r="DI71" s="1"/>
  <c r="DI76" s="1"/>
  <c r="AS16" s="1"/>
  <c r="DR53"/>
  <c r="DI28" s="1"/>
  <c r="DI32" s="1"/>
  <c r="DR91" l="1"/>
  <c r="DI66" s="1"/>
  <c r="DI70" s="1"/>
  <c r="DI75" s="1"/>
  <c r="AS15" s="1"/>
  <c r="DI40"/>
  <c r="AU85"/>
  <c r="DI37"/>
  <c r="DI41" s="1"/>
  <c r="AS37"/>
  <c r="AZ71" s="1"/>
  <c r="P118" i="2" s="1"/>
  <c r="AV16" i="1"/>
  <c r="AT80" l="1"/>
  <c r="J128" i="2" s="1"/>
  <c r="AV15" i="1"/>
  <c r="AV22" s="1"/>
  <c r="AW24" s="1"/>
  <c r="AW25" s="1"/>
  <c r="AX18" s="1"/>
  <c r="AS36"/>
  <c r="AZ70" s="1"/>
  <c r="P117" i="2" s="1"/>
  <c r="AX14" i="1" l="1"/>
  <c r="AX15" s="1"/>
  <c r="AY18"/>
  <c r="AV72" s="1"/>
  <c r="L120" i="2" s="1"/>
  <c r="AX19" i="1"/>
  <c r="AY14" l="1"/>
  <c r="AV70" s="1"/>
  <c r="L118" i="2" s="1"/>
  <c r="AY19" i="1"/>
  <c r="AW72" s="1"/>
  <c r="M120" i="2" s="1"/>
  <c r="AX20" i="1"/>
  <c r="AY20" s="1"/>
  <c r="AX72" s="1"/>
  <c r="N120" i="2" s="1"/>
  <c r="AY15" i="1"/>
  <c r="AW70" s="1"/>
  <c r="M118" i="2" s="1"/>
  <c r="AX16" i="1"/>
  <c r="AY16" s="1"/>
  <c r="AX70" s="1"/>
  <c r="N118" i="2" s="1"/>
</calcChain>
</file>

<file path=xl/comments1.xml><?xml version="1.0" encoding="utf-8"?>
<comments xmlns="http://schemas.openxmlformats.org/spreadsheetml/2006/main">
  <authors>
    <author>Syrios2</author>
    <author>Giannis</author>
  </authors>
  <commentList>
    <comment ref="CE28" authorId="0">
      <text>
        <r>
          <rPr>
            <b/>
            <sz val="9"/>
            <color indexed="81"/>
            <rFont val="Tahoma"/>
            <family val="2"/>
            <charset val="161"/>
          </rPr>
          <t>Γιάννης:</t>
        </r>
        <r>
          <rPr>
            <sz val="9"/>
            <color indexed="81"/>
            <rFont val="Tahoma"/>
            <family val="2"/>
            <charset val="161"/>
          </rPr>
          <t xml:space="preserve">
είσοδος από μετατροπή συμμιγούς σε δεκαδικό</t>
        </r>
      </text>
    </comment>
    <comment ref="DD50" authorId="0">
      <text>
        <r>
          <rPr>
            <b/>
            <sz val="9"/>
            <color indexed="81"/>
            <rFont val="Tahoma"/>
            <family val="2"/>
            <charset val="161"/>
          </rPr>
          <t>Γιάννης:</t>
        </r>
        <r>
          <rPr>
            <sz val="9"/>
            <color indexed="81"/>
            <rFont val="Tahoma"/>
            <family val="2"/>
            <charset val="161"/>
          </rPr>
          <t xml:space="preserve">
 Η γωνία ω είναι η γωνία που σχηματίζει ο «δείκτης» του αζιμούθιου με τον Γήινο μεσημβρινό. </t>
        </r>
      </text>
    </comment>
    <comment ref="CL55" authorId="0">
      <text>
        <r>
          <rPr>
            <sz val="9"/>
            <color indexed="81"/>
            <rFont val="Tahoma"/>
            <family val="2"/>
            <charset val="161"/>
          </rPr>
          <t xml:space="preserve">
Τα άστρα τρέχουν πιο γρήγορα κατά 4
περίπου λεπτά την ημέρα από τον ήλιο. Στο ροζ
υπολογίζεται ο χρόνος που χρειάζεται ο Ήλιος να
διανύσει την απόσταση από τις 30 μοίρες προς δυσμάς. Το παρακάτω προσαρμόζει τον ηλιακό
χρόνο και τον κάνει αστρικό.
(Γαλάζιο κελί)
</t>
        </r>
      </text>
    </comment>
    <comment ref="DD59" authorId="0">
      <text>
        <r>
          <rPr>
            <b/>
            <sz val="9"/>
            <color indexed="81"/>
            <rFont val="Tahoma"/>
            <family val="2"/>
            <charset val="161"/>
          </rPr>
          <t>Γιάννης:</t>
        </r>
        <r>
          <rPr>
            <sz val="9"/>
            <color indexed="81"/>
            <rFont val="Tahoma"/>
            <family val="2"/>
            <charset val="161"/>
          </rPr>
          <t xml:space="preserve">
Αν το ΔΩ =0, τότε ο παρονομαστής της διαίρεσης ΛΔ/ΔΩ μηδενίζεται και το πρόγραμμα μπλοκάρει.
Όταν λοιπόν το ΔΩ γίνατε 0, η εντολή IF το μετατρέπει σε 0,000000001. 
</t>
        </r>
      </text>
    </comment>
    <comment ref="AR65" authorId="1">
      <text>
        <r>
          <rPr>
            <b/>
            <sz val="11"/>
            <color indexed="10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α</t>
        </r>
        <r>
          <rPr>
            <sz val="11"/>
            <color indexed="10"/>
            <rFont val="Times New Roman"/>
            <family val="1"/>
            <charset val="161"/>
          </rPr>
          <t xml:space="preserve">    a  alfa  alpha 
</t>
        </r>
        <r>
          <rPr>
            <b/>
            <sz val="11"/>
            <color indexed="10"/>
            <rFont val="Times New Roman"/>
            <family val="1"/>
            <charset val="161"/>
          </rPr>
          <t>β</t>
        </r>
        <r>
          <rPr>
            <sz val="11"/>
            <color indexed="10"/>
            <rFont val="Times New Roman"/>
            <family val="1"/>
            <charset val="161"/>
          </rPr>
          <t xml:space="preserve">   b  beta bet
</t>
        </r>
        <r>
          <rPr>
            <b/>
            <sz val="11"/>
            <color indexed="10"/>
            <rFont val="Times New Roman"/>
            <family val="1"/>
            <charset val="161"/>
          </rPr>
          <t>γ</t>
        </r>
        <r>
          <rPr>
            <sz val="11"/>
            <color indexed="10"/>
            <rFont val="Times New Roman"/>
            <family val="1"/>
            <charset val="161"/>
          </rPr>
          <t xml:space="preserve">   g  gama gam
</t>
        </r>
        <r>
          <rPr>
            <b/>
            <sz val="11"/>
            <color indexed="10"/>
            <rFont val="Times New Roman"/>
            <family val="1"/>
            <charset val="161"/>
          </rPr>
          <t>δ</t>
        </r>
        <r>
          <rPr>
            <sz val="11"/>
            <color indexed="10"/>
            <rFont val="Times New Roman"/>
            <family val="1"/>
            <charset val="161"/>
          </rPr>
          <t xml:space="preserve">   d  delta del
</t>
        </r>
        <r>
          <rPr>
            <b/>
            <sz val="11"/>
            <color indexed="10"/>
            <rFont val="Times New Roman"/>
            <family val="1"/>
            <charset val="161"/>
          </rPr>
          <t>ε</t>
        </r>
        <r>
          <rPr>
            <sz val="11"/>
            <color indexed="10"/>
            <rFont val="Times New Roman"/>
            <family val="1"/>
            <charset val="161"/>
          </rPr>
          <t xml:space="preserve">   e  epsilon eps
</t>
        </r>
        <r>
          <rPr>
            <b/>
            <sz val="11"/>
            <color indexed="10"/>
            <rFont val="Times New Roman"/>
            <family val="1"/>
            <charset val="161"/>
          </rPr>
          <t>ζ</t>
        </r>
        <r>
          <rPr>
            <sz val="11"/>
            <color indexed="10"/>
            <rFont val="Times New Roman"/>
            <family val="1"/>
            <charset val="161"/>
          </rPr>
          <t xml:space="preserve">   z  zet zeta
</t>
        </r>
        <r>
          <rPr>
            <b/>
            <sz val="11"/>
            <color indexed="10"/>
            <rFont val="Times New Roman"/>
            <family val="1"/>
            <charset val="161"/>
          </rPr>
          <t>η</t>
        </r>
        <r>
          <rPr>
            <sz val="11"/>
            <color indexed="10"/>
            <rFont val="Times New Roman"/>
            <family val="1"/>
            <charset val="161"/>
          </rPr>
          <t xml:space="preserve">   eta 
</t>
        </r>
        <r>
          <rPr>
            <b/>
            <sz val="11"/>
            <color indexed="10"/>
            <rFont val="Times New Roman"/>
            <family val="1"/>
            <charset val="161"/>
          </rPr>
          <t>θ</t>
        </r>
        <r>
          <rPr>
            <sz val="11"/>
            <color indexed="10"/>
            <rFont val="Times New Roman"/>
            <family val="1"/>
            <charset val="161"/>
          </rPr>
          <t xml:space="preserve">  tet the </t>
        </r>
        <r>
          <rPr>
            <b/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R66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ι  </t>
        </r>
        <r>
          <rPr>
            <sz val="11"/>
            <color indexed="10"/>
            <rFont val="Times New Roman"/>
            <family val="1"/>
            <charset val="161"/>
          </rPr>
          <t xml:space="preserve"> i  iota  iot
</t>
        </r>
        <r>
          <rPr>
            <b/>
            <sz val="11"/>
            <color indexed="10"/>
            <rFont val="Times New Roman"/>
            <family val="1"/>
            <charset val="161"/>
          </rPr>
          <t>κ</t>
        </r>
        <r>
          <rPr>
            <sz val="11"/>
            <color indexed="10"/>
            <rFont val="Times New Roman"/>
            <family val="1"/>
            <charset val="161"/>
          </rPr>
          <t xml:space="preserve">  k  kapa   kap
</t>
        </r>
        <r>
          <rPr>
            <b/>
            <sz val="11"/>
            <color indexed="10"/>
            <rFont val="Times New Roman"/>
            <family val="1"/>
            <charset val="161"/>
          </rPr>
          <t>λ</t>
        </r>
        <r>
          <rPr>
            <sz val="11"/>
            <color indexed="10"/>
            <rFont val="Times New Roman"/>
            <family val="1"/>
            <charset val="161"/>
          </rPr>
          <t xml:space="preserve">  l   lamda lam
</t>
        </r>
        <r>
          <rPr>
            <b/>
            <sz val="11"/>
            <color indexed="10"/>
            <rFont val="Times New Roman"/>
            <family val="1"/>
            <charset val="161"/>
          </rPr>
          <t>μ</t>
        </r>
        <r>
          <rPr>
            <sz val="11"/>
            <color indexed="10"/>
            <rFont val="Times New Roman"/>
            <family val="1"/>
            <charset val="161"/>
          </rPr>
          <t xml:space="preserve">  m  me  mu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ν </t>
        </r>
        <r>
          <rPr>
            <sz val="11"/>
            <color indexed="10"/>
            <rFont val="Times New Roman"/>
            <family val="1"/>
            <charset val="161"/>
          </rPr>
          <t xml:space="preserve"> n    ne  nu
</t>
        </r>
        <r>
          <rPr>
            <b/>
            <sz val="11"/>
            <color indexed="10"/>
            <rFont val="Times New Roman"/>
            <family val="1"/>
            <charset val="161"/>
          </rPr>
          <t>ξ</t>
        </r>
        <r>
          <rPr>
            <sz val="11"/>
            <color indexed="10"/>
            <rFont val="Times New Roman"/>
            <family val="1"/>
            <charset val="161"/>
          </rPr>
          <t xml:space="preserve">   ksi
</t>
        </r>
        <r>
          <rPr>
            <b/>
            <sz val="11"/>
            <color indexed="10"/>
            <rFont val="Times New Roman"/>
            <family val="1"/>
            <charset val="161"/>
          </rPr>
          <t>ο</t>
        </r>
        <r>
          <rPr>
            <sz val="11"/>
            <color indexed="10"/>
            <rFont val="Times New Roman"/>
            <family val="1"/>
            <charset val="161"/>
          </rPr>
          <t xml:space="preserve">   o   omi
</t>
        </r>
        <r>
          <rPr>
            <b/>
            <sz val="11"/>
            <color indexed="10"/>
            <rFont val="Times New Roman"/>
            <family val="1"/>
            <charset val="161"/>
          </rPr>
          <t>π</t>
        </r>
        <r>
          <rPr>
            <sz val="11"/>
            <color indexed="10"/>
            <rFont val="Times New Roman"/>
            <family val="1"/>
            <charset val="161"/>
          </rPr>
          <t xml:space="preserve">  p  pi</t>
        </r>
        <r>
          <rPr>
            <sz val="9"/>
            <color indexed="10"/>
            <rFont val="Tahoma"/>
            <family val="2"/>
            <charset val="161"/>
          </rPr>
          <t xml:space="preserve">
</t>
        </r>
      </text>
    </comment>
    <comment ref="AR67" authorId="1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 r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   s 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  t 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  y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  f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   x  hi  he 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CM89" authorId="0">
      <text>
        <r>
          <rPr>
            <sz val="9"/>
            <color indexed="81"/>
            <rFont val="Tahoma"/>
            <family val="2"/>
            <charset val="161"/>
          </rPr>
          <t>Γιάννης:
Η ορθή αναφορά είναι του 2000</t>
        </r>
      </text>
    </comment>
    <comment ref="CM90" authorId="0">
      <text>
        <r>
          <rPr>
            <sz val="9"/>
            <color indexed="81"/>
            <rFont val="Tahoma"/>
            <family val="2"/>
            <charset val="161"/>
          </rPr>
          <t>Γιάννης:
Η Απόκλιση είναι διορθωμένη από το πρόγραμμα της μετάπτωσης.</t>
        </r>
      </text>
    </comment>
  </commentList>
</comments>
</file>

<file path=xl/comments2.xml><?xml version="1.0" encoding="utf-8"?>
<comments xmlns="http://schemas.openxmlformats.org/spreadsheetml/2006/main">
  <authors>
    <author>Giannis</author>
  </authors>
  <commentList>
    <comment ref="J9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 r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   s 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  t 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  y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  f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   x  hi  he 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97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Για αυτήν την Οθόνη πληκτρολογήστε
</t>
        </r>
        <r>
          <rPr>
            <b/>
            <sz val="9"/>
            <color indexed="34"/>
            <rFont val="Tahoma"/>
            <family val="2"/>
            <charset val="161"/>
          </rPr>
          <t>1</t>
        </r>
        <r>
          <rPr>
            <sz val="9"/>
            <color indexed="34"/>
            <rFont val="Tahoma"/>
            <family val="2"/>
            <charset val="161"/>
          </rPr>
          <t xml:space="preserve">          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98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Για αυτήν την Οθόνη πληκτρολογήστε
2
          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99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Για αυτήν την Οθόνη πληκτρολογήστε
</t>
        </r>
        <r>
          <rPr>
            <b/>
            <sz val="9"/>
            <color indexed="34"/>
            <rFont val="Tahoma"/>
            <family val="2"/>
            <charset val="161"/>
          </rPr>
          <t>4</t>
        </r>
        <r>
          <rPr>
            <sz val="9"/>
            <color indexed="34"/>
            <rFont val="Tahoma"/>
            <family val="2"/>
            <charset val="161"/>
          </rPr>
          <t xml:space="preserve">          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L112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Πρέπει να ενημερώνεται </t>
        </r>
        <r>
          <rPr>
            <b/>
            <sz val="11"/>
            <color indexed="10"/>
            <rFont val="Times New Roman"/>
            <family val="1"/>
            <charset val="161"/>
          </rPr>
          <t>μόνο</t>
        </r>
        <r>
          <rPr>
            <sz val="11"/>
            <color indexed="10"/>
            <rFont val="Times New Roman"/>
            <family val="1"/>
            <charset val="161"/>
          </rPr>
          <t xml:space="preserve"> όταν αλλάζει το καθεστώς της ώρας, σύμφωνα με τις οδηγίες. 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113" authorId="0">
      <text>
        <r>
          <rPr>
            <b/>
            <sz val="11"/>
            <color indexed="10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α</t>
        </r>
        <r>
          <rPr>
            <sz val="11"/>
            <color indexed="10"/>
            <rFont val="Times New Roman"/>
            <family val="1"/>
            <charset val="161"/>
          </rPr>
          <t xml:space="preserve">    a  alfa  alpha 
</t>
        </r>
        <r>
          <rPr>
            <b/>
            <sz val="11"/>
            <color indexed="10"/>
            <rFont val="Times New Roman"/>
            <family val="1"/>
            <charset val="161"/>
          </rPr>
          <t>β</t>
        </r>
        <r>
          <rPr>
            <sz val="11"/>
            <color indexed="10"/>
            <rFont val="Times New Roman"/>
            <family val="1"/>
            <charset val="161"/>
          </rPr>
          <t xml:space="preserve">   b  beta bet
</t>
        </r>
        <r>
          <rPr>
            <b/>
            <sz val="11"/>
            <color indexed="10"/>
            <rFont val="Times New Roman"/>
            <family val="1"/>
            <charset val="161"/>
          </rPr>
          <t>γ</t>
        </r>
        <r>
          <rPr>
            <sz val="11"/>
            <color indexed="10"/>
            <rFont val="Times New Roman"/>
            <family val="1"/>
            <charset val="161"/>
          </rPr>
          <t xml:space="preserve">   g  gama gam
</t>
        </r>
        <r>
          <rPr>
            <b/>
            <sz val="11"/>
            <color indexed="10"/>
            <rFont val="Times New Roman"/>
            <family val="1"/>
            <charset val="161"/>
          </rPr>
          <t>δ</t>
        </r>
        <r>
          <rPr>
            <sz val="11"/>
            <color indexed="10"/>
            <rFont val="Times New Roman"/>
            <family val="1"/>
            <charset val="161"/>
          </rPr>
          <t xml:space="preserve">   d  delta del
</t>
        </r>
        <r>
          <rPr>
            <b/>
            <sz val="11"/>
            <color indexed="10"/>
            <rFont val="Times New Roman"/>
            <family val="1"/>
            <charset val="161"/>
          </rPr>
          <t>ε</t>
        </r>
        <r>
          <rPr>
            <sz val="11"/>
            <color indexed="10"/>
            <rFont val="Times New Roman"/>
            <family val="1"/>
            <charset val="161"/>
          </rPr>
          <t xml:space="preserve">   e  epsilon eps
</t>
        </r>
        <r>
          <rPr>
            <b/>
            <sz val="11"/>
            <color indexed="10"/>
            <rFont val="Times New Roman"/>
            <family val="1"/>
            <charset val="161"/>
          </rPr>
          <t>ζ</t>
        </r>
        <r>
          <rPr>
            <sz val="11"/>
            <color indexed="10"/>
            <rFont val="Times New Roman"/>
            <family val="1"/>
            <charset val="161"/>
          </rPr>
          <t xml:space="preserve">   z  zet zeta
</t>
        </r>
        <r>
          <rPr>
            <b/>
            <sz val="11"/>
            <color indexed="10"/>
            <rFont val="Times New Roman"/>
            <family val="1"/>
            <charset val="161"/>
          </rPr>
          <t>η</t>
        </r>
        <r>
          <rPr>
            <sz val="11"/>
            <color indexed="10"/>
            <rFont val="Times New Roman"/>
            <family val="1"/>
            <charset val="161"/>
          </rPr>
          <t xml:space="preserve">   eta 
</t>
        </r>
        <r>
          <rPr>
            <b/>
            <sz val="11"/>
            <color indexed="10"/>
            <rFont val="Times New Roman"/>
            <family val="1"/>
            <charset val="161"/>
          </rPr>
          <t>θ</t>
        </r>
        <r>
          <rPr>
            <sz val="11"/>
            <color indexed="10"/>
            <rFont val="Times New Roman"/>
            <family val="1"/>
            <charset val="161"/>
          </rPr>
          <t xml:space="preserve">  tet the </t>
        </r>
        <r>
          <rPr>
            <b/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114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ι  </t>
        </r>
        <r>
          <rPr>
            <sz val="11"/>
            <color indexed="10"/>
            <rFont val="Times New Roman"/>
            <family val="1"/>
            <charset val="161"/>
          </rPr>
          <t xml:space="preserve"> i  iota  iot
</t>
        </r>
        <r>
          <rPr>
            <b/>
            <sz val="11"/>
            <color indexed="10"/>
            <rFont val="Times New Roman"/>
            <family val="1"/>
            <charset val="161"/>
          </rPr>
          <t>κ</t>
        </r>
        <r>
          <rPr>
            <sz val="11"/>
            <color indexed="10"/>
            <rFont val="Times New Roman"/>
            <family val="1"/>
            <charset val="161"/>
          </rPr>
          <t xml:space="preserve">  k  kapa   kap
</t>
        </r>
        <r>
          <rPr>
            <b/>
            <sz val="11"/>
            <color indexed="10"/>
            <rFont val="Times New Roman"/>
            <family val="1"/>
            <charset val="161"/>
          </rPr>
          <t>λ</t>
        </r>
        <r>
          <rPr>
            <sz val="11"/>
            <color indexed="10"/>
            <rFont val="Times New Roman"/>
            <family val="1"/>
            <charset val="161"/>
          </rPr>
          <t xml:space="preserve">  l   lamda lam
</t>
        </r>
        <r>
          <rPr>
            <b/>
            <sz val="11"/>
            <color indexed="10"/>
            <rFont val="Times New Roman"/>
            <family val="1"/>
            <charset val="161"/>
          </rPr>
          <t>μ</t>
        </r>
        <r>
          <rPr>
            <sz val="11"/>
            <color indexed="10"/>
            <rFont val="Times New Roman"/>
            <family val="1"/>
            <charset val="161"/>
          </rPr>
          <t xml:space="preserve">  m  me  mu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ν </t>
        </r>
        <r>
          <rPr>
            <sz val="11"/>
            <color indexed="10"/>
            <rFont val="Times New Roman"/>
            <family val="1"/>
            <charset val="161"/>
          </rPr>
          <t xml:space="preserve"> n    ne  nu
</t>
        </r>
        <r>
          <rPr>
            <b/>
            <sz val="11"/>
            <color indexed="10"/>
            <rFont val="Times New Roman"/>
            <family val="1"/>
            <charset val="161"/>
          </rPr>
          <t>ξ</t>
        </r>
        <r>
          <rPr>
            <sz val="11"/>
            <color indexed="10"/>
            <rFont val="Times New Roman"/>
            <family val="1"/>
            <charset val="161"/>
          </rPr>
          <t xml:space="preserve">   ksi
</t>
        </r>
        <r>
          <rPr>
            <b/>
            <sz val="11"/>
            <color indexed="10"/>
            <rFont val="Times New Roman"/>
            <family val="1"/>
            <charset val="161"/>
          </rPr>
          <t>ο</t>
        </r>
        <r>
          <rPr>
            <sz val="11"/>
            <color indexed="10"/>
            <rFont val="Times New Roman"/>
            <family val="1"/>
            <charset val="161"/>
          </rPr>
          <t xml:space="preserve">   o   omi
</t>
        </r>
        <r>
          <rPr>
            <b/>
            <sz val="11"/>
            <color indexed="10"/>
            <rFont val="Times New Roman"/>
            <family val="1"/>
            <charset val="161"/>
          </rPr>
          <t>π</t>
        </r>
        <r>
          <rPr>
            <sz val="11"/>
            <color indexed="10"/>
            <rFont val="Times New Roman"/>
            <family val="1"/>
            <charset val="161"/>
          </rPr>
          <t xml:space="preserve">  p  pi</t>
        </r>
        <r>
          <rPr>
            <sz val="9"/>
            <color indexed="10"/>
            <rFont val="Tahoma"/>
            <family val="2"/>
            <charset val="161"/>
          </rPr>
          <t xml:space="preserve">
</t>
        </r>
      </text>
    </comment>
    <comment ref="H11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 r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   s 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  t 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  y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  f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   x  hi  he 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H117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10"/>
            <rFont val="Tahoma"/>
            <family val="2"/>
            <charset val="161"/>
          </rPr>
          <t xml:space="preserve"> Για να γράψουμε το άστρο που αναζητάμε, γράφουμε το γράμμα του, πατάμε κενό, και στην συνέχεια το διεθνές σύμβολο του αστερισμού. Έστω ότι θέλουμε το α του Βόρειου Στέφανου. Εδώ παρατηρούμε ότι δεν ξέρουμε το σύμβολο του αστερισμού.  Πληκτρολογούμε λοιπόν ολογράφως τον αστερισμό  στα Ελληνικά, Βόρειος Στέφανος, ή στα Λατινικά, Corona Borealis, και μεταξύ των πηλοφοριών που θα έχουμε θα είναι και αυτή: CrB. Επομένως στο κελί αναζήτησης γράφουμε: 
α crb  ή  a crb  ή   alfa crb ή  alpha crb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K12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10"/>
            <rFont val="Tahoma"/>
            <family val="2"/>
            <charset val="161"/>
          </rPr>
          <t xml:space="preserve">Για να ανανεωθεί ο χρόνος πληκτρολογήστε κάτι Εδώ,
και μετά να πατήσετε </t>
        </r>
        <r>
          <rPr>
            <b/>
            <sz val="9"/>
            <color indexed="10"/>
            <rFont val="Tahoma"/>
            <family val="2"/>
            <charset val="161"/>
          </rPr>
          <t>Εenter.</t>
        </r>
        <r>
          <rPr>
            <sz val="9"/>
            <color indexed="10"/>
            <rFont val="Tahoma"/>
            <family val="2"/>
            <charset val="161"/>
          </rPr>
          <t xml:space="preserve"> 
Για καθαρά πρακτικούς λόγους χρήσεις του προγράμματος, αποφύγετε να πληκτρολογήσετε κάποιο γράμμα. Δημιουργεί σύγχυση στην ανάγνωση της οθόνης. Πληκτρολογήστε  το κόμμα ή την τελεία.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L129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Γιάννης
Σε αυτό το πεδίο γράφουμε ή διαγράφουμε τις Γεωγραφικές συντεταγμένες των τοποθεσιών  που μας ενδιαφέρουν.
</t>
        </r>
        <r>
          <rPr>
            <b/>
            <sz val="11"/>
            <color indexed="10"/>
            <rFont val="Times New Roman"/>
            <family val="1"/>
            <charset val="161"/>
          </rPr>
          <t xml:space="preserve"> </t>
        </r>
        <r>
          <rPr>
            <sz val="11"/>
            <color indexed="10"/>
            <rFont val="Times New Roman"/>
            <family val="1"/>
            <charset val="161"/>
          </rPr>
          <t xml:space="preserve">  
 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<sst xmlns="http://schemas.openxmlformats.org/spreadsheetml/2006/main" count="5141" uniqueCount="4019">
  <si>
    <t>ΚΑΤΑΛΟΓΟΣ 1 Τράπεζα δεδομένων</t>
  </si>
  <si>
    <t>Είσοδος</t>
  </si>
  <si>
    <t>Α όνομα</t>
  </si>
  <si>
    <t xml:space="preserve">ΟΡΘΗ </t>
  </si>
  <si>
    <t>ΑΝΑΦΟΡΑ</t>
  </si>
  <si>
    <t xml:space="preserve">     α</t>
  </si>
  <si>
    <t>ΑΠΟΚΛΙΣΗ</t>
  </si>
  <si>
    <t xml:space="preserve">        δ</t>
  </si>
  <si>
    <t>Όνομα</t>
  </si>
  <si>
    <t xml:space="preserve">        A/A</t>
  </si>
  <si>
    <t>ΑΠΟ</t>
  </si>
  <si>
    <t>ΠΡΟΣ</t>
  </si>
  <si>
    <t>αναζήτησης</t>
  </si>
  <si>
    <t>Ώρες</t>
  </si>
  <si>
    <t>Λεπτά</t>
  </si>
  <si>
    <t>Δευτερόλ</t>
  </si>
  <si>
    <t>Μοίρες</t>
  </si>
  <si>
    <t>Ελληνικά</t>
  </si>
  <si>
    <t>Λατινικά</t>
  </si>
  <si>
    <t>Από Είσοδος προγράμματος</t>
  </si>
  <si>
    <t>Λογισμικό εισόδου</t>
  </si>
  <si>
    <t>Πίνακας 2) Κατάλογος Αστερισμών - κωδικών. Αγγλικό πληκτρολόγιο</t>
  </si>
  <si>
    <t>Χάρτης 1</t>
  </si>
  <si>
    <t>Κωδικός</t>
  </si>
  <si>
    <t>Όναμα στά</t>
  </si>
  <si>
    <t>Μηνύματα</t>
  </si>
  <si>
    <t>α</t>
  </si>
  <si>
    <t xml:space="preserve">Γιάννης </t>
  </si>
  <si>
    <t>Παπαδόπουλος</t>
  </si>
  <si>
    <t>αν το επάνω = 0 ; Α</t>
  </si>
  <si>
    <t>Όνομα Αναζήτησης</t>
  </si>
  <si>
    <t>Λατινικα</t>
  </si>
  <si>
    <t>Από-πρός</t>
  </si>
  <si>
    <t>αα</t>
  </si>
  <si>
    <t>Είσοδος προγράμματος</t>
  </si>
  <si>
    <t>ααα 0</t>
  </si>
  <si>
    <t>Γράψτε</t>
  </si>
  <si>
    <t>από</t>
  </si>
  <si>
    <t>εδώ</t>
  </si>
  <si>
    <t>μέχρι</t>
  </si>
  <si>
    <t>και</t>
  </si>
  <si>
    <t>το ααα 9</t>
  </si>
  <si>
    <t>όνομα</t>
  </si>
  <si>
    <t>αντικειμένου</t>
  </si>
  <si>
    <t>look up</t>
  </si>
  <si>
    <t xml:space="preserve">                                                              ΑΠΟ</t>
  </si>
  <si>
    <t>ααα 1</t>
  </si>
  <si>
    <t>Σελήνη 21-7-2017</t>
  </si>
  <si>
    <t>και 5 θερινή ώρα</t>
  </si>
  <si>
    <t>ΑΠO</t>
  </si>
  <si>
    <t xml:space="preserve">αν το επάνω = με το γκρ ; 1 ; α </t>
  </si>
  <si>
    <t>Andromeda</t>
  </si>
  <si>
    <t xml:space="preserve">(1)β, (1)α, (12)α, (10-11)α </t>
  </si>
  <si>
    <t>And</t>
  </si>
  <si>
    <t>Ανδρομέδα</t>
  </si>
  <si>
    <t>ανδ</t>
  </si>
  <si>
    <t xml:space="preserve">                                                            ΠΡΟΣ</t>
  </si>
  <si>
    <t>ααα 2</t>
  </si>
  <si>
    <t>isnuber</t>
  </si>
  <si>
    <t>Antlia</t>
  </si>
  <si>
    <t>(6)γ</t>
  </si>
  <si>
    <t>Ant</t>
  </si>
  <si>
    <t>Αντλία</t>
  </si>
  <si>
    <t>αντ</t>
  </si>
  <si>
    <t>Είσοδος καταλόγου Αστερισμών</t>
  </si>
  <si>
    <t>ααα 3</t>
  </si>
  <si>
    <t>Ελεύθερη</t>
  </si>
  <si>
    <t>Θέση</t>
  </si>
  <si>
    <t>Αν το επάνω=0;"  " ; Το επάνω</t>
  </si>
  <si>
    <t>αν false = "α" ; Το ροζ</t>
  </si>
  <si>
    <t>Aquarius</t>
  </si>
  <si>
    <t>(10-11)β, (12)β</t>
  </si>
  <si>
    <t>Aqr</t>
  </si>
  <si>
    <t>Υδροχόος</t>
  </si>
  <si>
    <t>υδρ</t>
  </si>
  <si>
    <t>Αστερισμός</t>
  </si>
  <si>
    <t>ααα 4</t>
  </si>
  <si>
    <t>αν το επάνω =  Γκρι ;το επάνω ;  ΩΩΩ</t>
  </si>
  <si>
    <t>Aquila</t>
  </si>
  <si>
    <t>(9)β, (9)α, (10-11)β</t>
  </si>
  <si>
    <t>Aql</t>
  </si>
  <si>
    <t>Αετός</t>
  </si>
  <si>
    <t>αετ</t>
  </si>
  <si>
    <t>ααα 5</t>
  </si>
  <si>
    <t>Ara</t>
  </si>
  <si>
    <t>Δεν περιέχεται</t>
  </si>
  <si>
    <t>Βωμός</t>
  </si>
  <si>
    <t>βωμ</t>
  </si>
  <si>
    <t>lookup</t>
  </si>
  <si>
    <t>ααα 6</t>
  </si>
  <si>
    <t>Aries</t>
  </si>
  <si>
    <t>(1)β, (1)γ</t>
  </si>
  <si>
    <t>Ari</t>
  </si>
  <si>
    <t>Κριός</t>
  </si>
  <si>
    <t>κρι</t>
  </si>
  <si>
    <t xml:space="preserve">αν το επάνω = με το γκρ ; 1 ; "α" </t>
  </si>
  <si>
    <t>ααα 7</t>
  </si>
  <si>
    <t>αν false = το γκρι ; Πράσινο (έξοδος)</t>
  </si>
  <si>
    <t>Auriga</t>
  </si>
  <si>
    <t>(2)α</t>
  </si>
  <si>
    <t>Aur</t>
  </si>
  <si>
    <t>Ηνίοχος</t>
  </si>
  <si>
    <t>ηνι</t>
  </si>
  <si>
    <t>Isnumber</t>
  </si>
  <si>
    <t>ααα 8</t>
  </si>
  <si>
    <t xml:space="preserve">           Είσοδος </t>
  </si>
  <si>
    <t>Bootes</t>
  </si>
  <si>
    <t>(7)α</t>
  </si>
  <si>
    <t>Boo</t>
  </si>
  <si>
    <t>Βοώτης</t>
  </si>
  <si>
    <t>βοω</t>
  </si>
  <si>
    <t>ααα 9</t>
  </si>
  <si>
    <t>(Α) Κελί</t>
  </si>
  <si>
    <t>Camelopardalis</t>
  </si>
  <si>
    <t>(1)α, (6)α</t>
  </si>
  <si>
    <t>Cam</t>
  </si>
  <si>
    <t>Καμηλοπάρδαλις</t>
  </si>
  <si>
    <t>καμη</t>
  </si>
  <si>
    <t>Αετού</t>
  </si>
  <si>
    <t>(Β) Κελί</t>
  </si>
  <si>
    <t>Cancer</t>
  </si>
  <si>
    <t>(3-4)β, (3-4)α</t>
  </si>
  <si>
    <t>Cnc</t>
  </si>
  <si>
    <t>Καρκίνος</t>
  </si>
  <si>
    <t>καρ</t>
  </si>
  <si>
    <t>αν το επάνω = False; "ZZZ" ; Το πορτοκαλί.</t>
  </si>
  <si>
    <t>α Aql</t>
  </si>
  <si>
    <t>α Αετου</t>
  </si>
  <si>
    <t>α Altair</t>
  </si>
  <si>
    <t>αν το επάνω = 0 ; " α" ; 1</t>
  </si>
  <si>
    <t>Πίνακας 1)</t>
  </si>
  <si>
    <t>Canes Venatici</t>
  </si>
  <si>
    <t>(6)α, (6)β</t>
  </si>
  <si>
    <t>CVn</t>
  </si>
  <si>
    <t>Θηρευτικοί Κύνες</t>
  </si>
  <si>
    <t>κυθ</t>
  </si>
  <si>
    <t xml:space="preserve">Αστερισμός στα Λατινικά </t>
  </si>
  <si>
    <t>β Aql</t>
  </si>
  <si>
    <t>β Αετου</t>
  </si>
  <si>
    <t>β Aquila</t>
  </si>
  <si>
    <t>a</t>
  </si>
  <si>
    <t>Canis Major</t>
  </si>
  <si>
    <t>(3-4)γ</t>
  </si>
  <si>
    <t>Cma</t>
  </si>
  <si>
    <t>Μέγας Κύων</t>
  </si>
  <si>
    <t>κμε</t>
  </si>
  <si>
    <t>Έξοδος</t>
  </si>
  <si>
    <t>γ Aql</t>
  </si>
  <si>
    <t>γ Αετου</t>
  </si>
  <si>
    <t>γ Aquila</t>
  </si>
  <si>
    <t>Έξοδος (Α) Κελί</t>
  </si>
  <si>
    <t>Αετος</t>
  </si>
  <si>
    <t>Canis Minor</t>
  </si>
  <si>
    <t>(3-4)β</t>
  </si>
  <si>
    <t>Cmi</t>
  </si>
  <si>
    <t>Μικρός Κύων</t>
  </si>
  <si>
    <t>κμι</t>
  </si>
  <si>
    <t>Διεθνές Σύμβολο</t>
  </si>
  <si>
    <t>δ Aql</t>
  </si>
  <si>
    <t>δ Αετου</t>
  </si>
  <si>
    <t>δ Aquila</t>
  </si>
  <si>
    <t>Capricornus</t>
  </si>
  <si>
    <t>(10-11)β</t>
  </si>
  <si>
    <t>Cap</t>
  </si>
  <si>
    <t>Αιγόκερως</t>
  </si>
  <si>
    <t>αιγ</t>
  </si>
  <si>
    <t>Αστερισμός Ελληνικά</t>
  </si>
  <si>
    <t>ε Aql</t>
  </si>
  <si>
    <t>ε Αετου</t>
  </si>
  <si>
    <t>ε Aquila</t>
  </si>
  <si>
    <t>Αιγοκερος</t>
  </si>
  <si>
    <t>Carina</t>
  </si>
  <si>
    <t>Car</t>
  </si>
  <si>
    <t>Τρόπις</t>
  </si>
  <si>
    <t>τρο</t>
  </si>
  <si>
    <t>Κωδικός Από - Προς Ελληνικό</t>
  </si>
  <si>
    <t>ζ Aql</t>
  </si>
  <si>
    <t>ζ Αετου</t>
  </si>
  <si>
    <t>ζ Aquila</t>
  </si>
  <si>
    <t>έξοδος (Β) Κελί</t>
  </si>
  <si>
    <t>Αιγόκερος</t>
  </si>
  <si>
    <t>Cassiopea</t>
  </si>
  <si>
    <t>(1)α, (1)β</t>
  </si>
  <si>
    <t>Cas</t>
  </si>
  <si>
    <t>Κασσιόπη</t>
  </si>
  <si>
    <t>κασ</t>
  </si>
  <si>
    <t>η aql</t>
  </si>
  <si>
    <t>η Αετου</t>
  </si>
  <si>
    <t>η Aquila</t>
  </si>
  <si>
    <t>Αιγοκερως</t>
  </si>
  <si>
    <t>Cassiopeia</t>
  </si>
  <si>
    <t>(1)α, (1)β, (10-11)α</t>
  </si>
  <si>
    <t>θ Aql</t>
  </si>
  <si>
    <t>θ Αετου</t>
  </si>
  <si>
    <t>θ Aquila</t>
  </si>
  <si>
    <t>Centaurus</t>
  </si>
  <si>
    <t>(7)β</t>
  </si>
  <si>
    <t>Cen</t>
  </si>
  <si>
    <t>Κένταυρος</t>
  </si>
  <si>
    <t>κεν</t>
  </si>
  <si>
    <t>Χάρτες</t>
  </si>
  <si>
    <t>ι aql</t>
  </si>
  <si>
    <t>ι Αετου</t>
  </si>
  <si>
    <t>ι Aquila</t>
  </si>
  <si>
    <t>Αλεπου</t>
  </si>
  <si>
    <t>Vulpecula</t>
  </si>
  <si>
    <t>Cepheus</t>
  </si>
  <si>
    <t>(10-11)α, (1)α</t>
  </si>
  <si>
    <t>Cep</t>
  </si>
  <si>
    <t>Κηφεύς</t>
  </si>
  <si>
    <t>κηφ</t>
  </si>
  <si>
    <t>Κείμενα</t>
  </si>
  <si>
    <t>λ Aql</t>
  </si>
  <si>
    <t>λ Αετου</t>
  </si>
  <si>
    <t>λ Aquila</t>
  </si>
  <si>
    <t>Αλεπού</t>
  </si>
  <si>
    <t>Cetus</t>
  </si>
  <si>
    <t>(1)γ, (2)β, (12)β</t>
  </si>
  <si>
    <t>Cet</t>
  </si>
  <si>
    <t>Κήτος</t>
  </si>
  <si>
    <t>κητ</t>
  </si>
  <si>
    <t>Αιγόκερου</t>
  </si>
  <si>
    <t>Αλωπηξ</t>
  </si>
  <si>
    <t>Columba</t>
  </si>
  <si>
    <t>Col</t>
  </si>
  <si>
    <t>Περιστερά</t>
  </si>
  <si>
    <t>πρσ</t>
  </si>
  <si>
    <t xml:space="preserve">αν το επάνω = 0 ; "" </t>
  </si>
  <si>
    <t>α Cap</t>
  </si>
  <si>
    <t>α Αιγόκερου</t>
  </si>
  <si>
    <t>α Capricornus</t>
  </si>
  <si>
    <t>Αλώπηξ</t>
  </si>
  <si>
    <t>Coma</t>
  </si>
  <si>
    <t>(6)β</t>
  </si>
  <si>
    <t>Com</t>
  </si>
  <si>
    <t>Κόμη (Βερενίκης)</t>
  </si>
  <si>
    <t>κομ</t>
  </si>
  <si>
    <t>β Cap</t>
  </si>
  <si>
    <t>β Αιγόκερου</t>
  </si>
  <si>
    <t>β Capricornus</t>
  </si>
  <si>
    <t>Ανδρομεδα</t>
  </si>
  <si>
    <t>andromeda</t>
  </si>
  <si>
    <t>Coma (Berenices)</t>
  </si>
  <si>
    <t>γ Cap</t>
  </si>
  <si>
    <t>γ Αιγόκερου</t>
  </si>
  <si>
    <t>γ Capricornus</t>
  </si>
  <si>
    <t>Coma Berenices</t>
  </si>
  <si>
    <t>Κόμη Βερενίκης</t>
  </si>
  <si>
    <t>δ Cap</t>
  </si>
  <si>
    <t>δ Αιγόκερου</t>
  </si>
  <si>
    <t>δ Capricornus</t>
  </si>
  <si>
    <t>Αντλια</t>
  </si>
  <si>
    <t>Corona Australis</t>
  </si>
  <si>
    <t>(8-9)δ, (9)β</t>
  </si>
  <si>
    <t>CrA</t>
  </si>
  <si>
    <t>Νότιος Στέφανος</t>
  </si>
  <si>
    <t>στν</t>
  </si>
  <si>
    <t>ζ Cap</t>
  </si>
  <si>
    <t>ζ Αιγόκερου</t>
  </si>
  <si>
    <t>ζ Capricornus</t>
  </si>
  <si>
    <t>Corona Borealis</t>
  </si>
  <si>
    <t>CrB</t>
  </si>
  <si>
    <t>Βόρειος Στέφανος</t>
  </si>
  <si>
    <t>στβ</t>
  </si>
  <si>
    <t>θ Cap</t>
  </si>
  <si>
    <t>θ Αιγόκερου</t>
  </si>
  <si>
    <t>θ Capricornus</t>
  </si>
  <si>
    <t>Ασπιδα</t>
  </si>
  <si>
    <t>Scutum</t>
  </si>
  <si>
    <t>Corvus</t>
  </si>
  <si>
    <t>(6)γ, (6)β</t>
  </si>
  <si>
    <t>Crv</t>
  </si>
  <si>
    <t>Κόραξ</t>
  </si>
  <si>
    <t>κορ</t>
  </si>
  <si>
    <t>ι Cap</t>
  </si>
  <si>
    <t>ι Αιγόκερου</t>
  </si>
  <si>
    <t>ι Capricornus</t>
  </si>
  <si>
    <t>Ασπίδα</t>
  </si>
  <si>
    <t>Crater</t>
  </si>
  <si>
    <t>Crt</t>
  </si>
  <si>
    <t>Κρατήρ</t>
  </si>
  <si>
    <t>κρα</t>
  </si>
  <si>
    <t>Πρόγραμμα εξόδου Καταλόγου 1</t>
  </si>
  <si>
    <t>ψ Cap</t>
  </si>
  <si>
    <t>ψ Αιγόκερου</t>
  </si>
  <si>
    <t>ψ Capricornus</t>
  </si>
  <si>
    <t>Ασπις</t>
  </si>
  <si>
    <t>Cygnus</t>
  </si>
  <si>
    <t>(9)α, (10-11)α, (10-11)β, (12)α</t>
  </si>
  <si>
    <t>Cyg</t>
  </si>
  <si>
    <t>Κύκνος</t>
  </si>
  <si>
    <t>κυκ</t>
  </si>
  <si>
    <t>ω Cap</t>
  </si>
  <si>
    <t>ω Αιγόκερου</t>
  </si>
  <si>
    <t>ω Capricornus</t>
  </si>
  <si>
    <t>Ασπίς</t>
  </si>
  <si>
    <t>Delphinus</t>
  </si>
  <si>
    <t>(9)α</t>
  </si>
  <si>
    <t>Del</t>
  </si>
  <si>
    <t>Δελφίνα</t>
  </si>
  <si>
    <t>δελ</t>
  </si>
  <si>
    <t>Ορθή Αναφορά</t>
  </si>
  <si>
    <t>Vul</t>
  </si>
  <si>
    <t>Βελος</t>
  </si>
  <si>
    <t>Sagitta</t>
  </si>
  <si>
    <t>Draco</t>
  </si>
  <si>
    <t>(8-9)α, (8-9)β, (10-11)α, (6)α, (7)α</t>
  </si>
  <si>
    <t>Dra</t>
  </si>
  <si>
    <t>Δράκων</t>
  </si>
  <si>
    <t>δρα</t>
  </si>
  <si>
    <t>α Vul</t>
  </si>
  <si>
    <t>α Αλώπεκος</t>
  </si>
  <si>
    <t>α Vulpecula</t>
  </si>
  <si>
    <t>Βέλος</t>
  </si>
  <si>
    <t>Equuleus</t>
  </si>
  <si>
    <t>(12)α, (10-11)β, (9)α</t>
  </si>
  <si>
    <t>Equ</t>
  </si>
  <si>
    <t>Ιππάριον</t>
  </si>
  <si>
    <t>ιππ</t>
  </si>
  <si>
    <t>Uma</t>
  </si>
  <si>
    <t>Μεγάλης Άρκτου</t>
  </si>
  <si>
    <t>Ursa Major</t>
  </si>
  <si>
    <t>Βορειος Στεφανος</t>
  </si>
  <si>
    <t>Corona borealis</t>
  </si>
  <si>
    <t>Eridanus</t>
  </si>
  <si>
    <t>(2)β, (1)γ</t>
  </si>
  <si>
    <t>Eri</t>
  </si>
  <si>
    <t>Ηριδανός</t>
  </si>
  <si>
    <t>ηρι</t>
  </si>
  <si>
    <t>23 Uma</t>
  </si>
  <si>
    <t>23 Μεγάλης Άρκτου</t>
  </si>
  <si>
    <t>23 Ursa Major</t>
  </si>
  <si>
    <t>Βορειος Στέφανος</t>
  </si>
  <si>
    <t>Fornax</t>
  </si>
  <si>
    <t>(1)γ</t>
  </si>
  <si>
    <t>For</t>
  </si>
  <si>
    <t>Κάμινος</t>
  </si>
  <si>
    <t>καμι</t>
  </si>
  <si>
    <t xml:space="preserve">                           Απόκλιση</t>
  </si>
  <si>
    <t>α Uma</t>
  </si>
  <si>
    <t>α Μεγάλης Άρκτου</t>
  </si>
  <si>
    <t>α Ursa Major</t>
  </si>
  <si>
    <t>Μετάφραση σε Ελληνικό πεζό γράμμα</t>
  </si>
  <si>
    <t>Βόρειος Στεφανος</t>
  </si>
  <si>
    <t>Gemini</t>
  </si>
  <si>
    <t xml:space="preserve">(3-4)β, (3-4)α </t>
  </si>
  <si>
    <t>Gem</t>
  </si>
  <si>
    <t>Δίδυμοι</t>
  </si>
  <si>
    <t>διδ</t>
  </si>
  <si>
    <t>β Uma</t>
  </si>
  <si>
    <t>β Μεγάλης Άρκτου</t>
  </si>
  <si>
    <t>β Ursa Major</t>
  </si>
  <si>
    <t>Grus</t>
  </si>
  <si>
    <t>Gru</t>
  </si>
  <si>
    <t>Γερανός</t>
  </si>
  <si>
    <t>γερ</t>
  </si>
  <si>
    <t>γ Uma</t>
  </si>
  <si>
    <t>γ Μεγάλης Άρκτου</t>
  </si>
  <si>
    <t>γ Ursa Major</t>
  </si>
  <si>
    <t>Βοωτης</t>
  </si>
  <si>
    <t>Hercules</t>
  </si>
  <si>
    <t>(8-9)β, (8-9)α, (8-9)γ</t>
  </si>
  <si>
    <t>Her</t>
  </si>
  <si>
    <t>Ηρακλής</t>
  </si>
  <si>
    <t>ηρα</t>
  </si>
  <si>
    <t>δ Uma</t>
  </si>
  <si>
    <t>δ Μεγάλης Άρκτου</t>
  </si>
  <si>
    <t>δ Ursa Major</t>
  </si>
  <si>
    <t>Βοωτής</t>
  </si>
  <si>
    <t>Hydra</t>
  </si>
  <si>
    <t>(6)γ, (3-4)β, (7)β</t>
  </si>
  <si>
    <t>Hya</t>
  </si>
  <si>
    <t>Ύδρα</t>
  </si>
  <si>
    <t>υδρα</t>
  </si>
  <si>
    <t xml:space="preserve">                               Κείμενα</t>
  </si>
  <si>
    <t>ε Uma</t>
  </si>
  <si>
    <t>ε Μεγάλης Άρκτου</t>
  </si>
  <si>
    <t>ε Ursa Major</t>
  </si>
  <si>
    <t>Lacerta</t>
  </si>
  <si>
    <t>(10-11)α, (12)α</t>
  </si>
  <si>
    <t>Lac</t>
  </si>
  <si>
    <t>Σαύρα</t>
  </si>
  <si>
    <t>σαυ</t>
  </si>
  <si>
    <t>ζ Uma</t>
  </si>
  <si>
    <t>ζ Μεγάλης Άρκτου. Διπλός</t>
  </si>
  <si>
    <t>ζ Ursa Major. Διπλός</t>
  </si>
  <si>
    <t>alfa</t>
  </si>
  <si>
    <t>Βωμος</t>
  </si>
  <si>
    <t>Leo</t>
  </si>
  <si>
    <t>(5)α, (3-4)α, (6β)</t>
  </si>
  <si>
    <t>Λέων</t>
  </si>
  <si>
    <t>λεω</t>
  </si>
  <si>
    <t>η Uma</t>
  </si>
  <si>
    <t>η Μεγάλης Άρκτου</t>
  </si>
  <si>
    <t>η Ursa Major</t>
  </si>
  <si>
    <t>alpha</t>
  </si>
  <si>
    <t>Leo Minor</t>
  </si>
  <si>
    <t>(5)α, (3-4)β</t>
  </si>
  <si>
    <t>Lmi</t>
  </si>
  <si>
    <t>Μικρός Λέων</t>
  </si>
  <si>
    <t>λμι</t>
  </si>
  <si>
    <t>θ Uma</t>
  </si>
  <si>
    <t>θ Μεγάλης Άρκτου</t>
  </si>
  <si>
    <t>θ Ursa Major</t>
  </si>
  <si>
    <t>b</t>
  </si>
  <si>
    <t>β</t>
  </si>
  <si>
    <t>Γερανος</t>
  </si>
  <si>
    <t>Lepus</t>
  </si>
  <si>
    <t>(3-4)γ, (2)β</t>
  </si>
  <si>
    <t>Lep</t>
  </si>
  <si>
    <t>Λαγωός</t>
  </si>
  <si>
    <t>λαγ</t>
  </si>
  <si>
    <t>ι Uma</t>
  </si>
  <si>
    <t>ι Μεγάλης Άρκτου</t>
  </si>
  <si>
    <t>ι Ursa Major</t>
  </si>
  <si>
    <t>bet</t>
  </si>
  <si>
    <t>Libra</t>
  </si>
  <si>
    <t>Lib</t>
  </si>
  <si>
    <t>Ζυγός</t>
  </si>
  <si>
    <t>ζυγ</t>
  </si>
  <si>
    <t>κ Uma</t>
  </si>
  <si>
    <t>κ Μεγάλης Άρκτου</t>
  </si>
  <si>
    <t>κ Ursa Major</t>
  </si>
  <si>
    <t>g</t>
  </si>
  <si>
    <t>γ</t>
  </si>
  <si>
    <t>Γλυπτης</t>
  </si>
  <si>
    <t>Sculptor</t>
  </si>
  <si>
    <t>Lupus</t>
  </si>
  <si>
    <t>Lup</t>
  </si>
  <si>
    <t>Λύκος</t>
  </si>
  <si>
    <t>λυκ</t>
  </si>
  <si>
    <t>λ Uma</t>
  </si>
  <si>
    <t>λ Μεγάλης Άρκτου</t>
  </si>
  <si>
    <t>λ Ursa Major</t>
  </si>
  <si>
    <t>gam</t>
  </si>
  <si>
    <t>Γλύπτης</t>
  </si>
  <si>
    <t>Lynx</t>
  </si>
  <si>
    <t>(3-4)α, (5)α</t>
  </si>
  <si>
    <t>Lyn</t>
  </si>
  <si>
    <t>Λυγξ</t>
  </si>
  <si>
    <t>λυγ</t>
  </si>
  <si>
    <t xml:space="preserve">                                       Εξοδος</t>
  </si>
  <si>
    <t>μ Uma</t>
  </si>
  <si>
    <t>μ Μεγάλης Άρκτου</t>
  </si>
  <si>
    <t>μ Ursa Major</t>
  </si>
  <si>
    <t>gama</t>
  </si>
  <si>
    <t>Γνωμων</t>
  </si>
  <si>
    <t>Norma</t>
  </si>
  <si>
    <t>Lyra</t>
  </si>
  <si>
    <t>Lyr</t>
  </si>
  <si>
    <t>Λύρα</t>
  </si>
  <si>
    <t>λυρ</t>
  </si>
  <si>
    <t>ν Uma</t>
  </si>
  <si>
    <t>ν Μεγάλης Άρκτου</t>
  </si>
  <si>
    <t>ν Ursa Major</t>
  </si>
  <si>
    <t>d</t>
  </si>
  <si>
    <t>δ</t>
  </si>
  <si>
    <t>Γνώμων</t>
  </si>
  <si>
    <t>Microscopium</t>
  </si>
  <si>
    <t>Mic</t>
  </si>
  <si>
    <t>Μικροσκόπιον</t>
  </si>
  <si>
    <t>μικ</t>
  </si>
  <si>
    <t>ξ Uma</t>
  </si>
  <si>
    <t>ξ Μεγάλης Άρκτου. Διπλός</t>
  </si>
  <si>
    <t>ξ  Ursa Major. Διπλός</t>
  </si>
  <si>
    <t>del</t>
  </si>
  <si>
    <t>Δελφιν</t>
  </si>
  <si>
    <t>Monoceros</t>
  </si>
  <si>
    <t>(3-4)γ, (3-4)γ</t>
  </si>
  <si>
    <t>Mon</t>
  </si>
  <si>
    <t>Μονόκερως</t>
  </si>
  <si>
    <t>μον</t>
  </si>
  <si>
    <t>ο Uma</t>
  </si>
  <si>
    <t>ο Μεγάλης Άρκτου</t>
  </si>
  <si>
    <t>ο Ursa Major</t>
  </si>
  <si>
    <t>delta</t>
  </si>
  <si>
    <t>Δελφίν</t>
  </si>
  <si>
    <t>Nor</t>
  </si>
  <si>
    <t>γνω</t>
  </si>
  <si>
    <t xml:space="preserve">                                                          Ώρες </t>
  </si>
  <si>
    <t>υ Uma</t>
  </si>
  <si>
    <t>υ Μεγάλης Άρκτου</t>
  </si>
  <si>
    <t>υ Ursa Major</t>
  </si>
  <si>
    <t>e</t>
  </si>
  <si>
    <t>ε</t>
  </si>
  <si>
    <t>Δελφινα</t>
  </si>
  <si>
    <t>Ophiuchus</t>
  </si>
  <si>
    <t>(8-9)γ, (8-9)δ</t>
  </si>
  <si>
    <t>Oph</t>
  </si>
  <si>
    <t>Οφιούχος</t>
  </si>
  <si>
    <t>οφχ</t>
  </si>
  <si>
    <t xml:space="preserve">                                                       Λεπτα</t>
  </si>
  <si>
    <t>χ Uma</t>
  </si>
  <si>
    <t>χ Μεγάλης Άρκτου</t>
  </si>
  <si>
    <t>χ Ursa Major</t>
  </si>
  <si>
    <t>eps</t>
  </si>
  <si>
    <t>Orion</t>
  </si>
  <si>
    <t>(2)β, (2α), (2)γ, (3-4)γ</t>
  </si>
  <si>
    <t>Ori</t>
  </si>
  <si>
    <t>Ωρίων</t>
  </si>
  <si>
    <t>ωρι</t>
  </si>
  <si>
    <t xml:space="preserve">                                               Δευτερόλεπτα</t>
  </si>
  <si>
    <t>ψ Uma</t>
  </si>
  <si>
    <t>ψ Μεγάλης Άρκτου</t>
  </si>
  <si>
    <t>ψ Ursa Major</t>
  </si>
  <si>
    <t>epsilon</t>
  </si>
  <si>
    <t>Δελφινι</t>
  </si>
  <si>
    <t>Pegasus</t>
  </si>
  <si>
    <t>(12)α, (12)β,(1)β</t>
  </si>
  <si>
    <t>Peg</t>
  </si>
  <si>
    <t>Πήγασος</t>
  </si>
  <si>
    <t>πηγ</t>
  </si>
  <si>
    <t>Umi</t>
  </si>
  <si>
    <t>Μικρής Άρκτου</t>
  </si>
  <si>
    <t>Ursa Minor</t>
  </si>
  <si>
    <t>z</t>
  </si>
  <si>
    <t>ζ</t>
  </si>
  <si>
    <t>Δελφίνι</t>
  </si>
  <si>
    <t>Perseus</t>
  </si>
  <si>
    <t>(1)α, (1)β, (2)α</t>
  </si>
  <si>
    <t>Per</t>
  </si>
  <si>
    <t>Περσεύς</t>
  </si>
  <si>
    <t>περ</t>
  </si>
  <si>
    <t xml:space="preserve">                                                          Μοίρες</t>
  </si>
  <si>
    <t>α Umi</t>
  </si>
  <si>
    <t>α Μικρής Άρκτου. Πολικός αστέρας</t>
  </si>
  <si>
    <t>αUrsa Minor. Πολικός αστέρας</t>
  </si>
  <si>
    <t>zet</t>
  </si>
  <si>
    <t>Διδυμοι</t>
  </si>
  <si>
    <t>Phoenix</t>
  </si>
  <si>
    <t>Phe</t>
  </si>
  <si>
    <t>Φοίνιξ</t>
  </si>
  <si>
    <t>φοι</t>
  </si>
  <si>
    <t xml:space="preserve">                                                            Λεπτα</t>
  </si>
  <si>
    <t>β Umi</t>
  </si>
  <si>
    <t>β Μικρής Άρκτου</t>
  </si>
  <si>
    <t>β Ursa Minor</t>
  </si>
  <si>
    <t>zeta</t>
  </si>
  <si>
    <t>Pisces</t>
  </si>
  <si>
    <t>(12)β, (1)γ</t>
  </si>
  <si>
    <t>Psc</t>
  </si>
  <si>
    <t>Ιχθύες</t>
  </si>
  <si>
    <t>ιχθ</t>
  </si>
  <si>
    <t xml:space="preserve">                                                Δευτερόλεπτα</t>
  </si>
  <si>
    <t>γ Umi</t>
  </si>
  <si>
    <t>γ Μικρής Άρκτου</t>
  </si>
  <si>
    <t>γ Ursa Minor</t>
  </si>
  <si>
    <t>eta</t>
  </si>
  <si>
    <t>η</t>
  </si>
  <si>
    <t>Δρακοντας</t>
  </si>
  <si>
    <t>Piscis Austrinus</t>
  </si>
  <si>
    <t>(12)β, (10-11)β</t>
  </si>
  <si>
    <t>PsA</t>
  </si>
  <si>
    <t>Νότιος Ιχθύς</t>
  </si>
  <si>
    <t>ιχν</t>
  </si>
  <si>
    <t>δ Umi</t>
  </si>
  <si>
    <t>δ Μικρής Άρκτου</t>
  </si>
  <si>
    <t>δ Ursa Minor</t>
  </si>
  <si>
    <t>the</t>
  </si>
  <si>
    <t>θ</t>
  </si>
  <si>
    <t>Δράκοντας</t>
  </si>
  <si>
    <t>Puppis</t>
  </si>
  <si>
    <t>Pup</t>
  </si>
  <si>
    <t>Πρύμνη</t>
  </si>
  <si>
    <t>πρυ</t>
  </si>
  <si>
    <t>ε Umi</t>
  </si>
  <si>
    <t>ε Μικρής Άρκτου</t>
  </si>
  <si>
    <t>ε Ursa Minor</t>
  </si>
  <si>
    <t>tet</t>
  </si>
  <si>
    <t>Δρακος</t>
  </si>
  <si>
    <t>Pyxis</t>
  </si>
  <si>
    <t>Pyx</t>
  </si>
  <si>
    <t>Πυξίς</t>
  </si>
  <si>
    <t>πυξ</t>
  </si>
  <si>
    <t>ζ Umi</t>
  </si>
  <si>
    <t>ζ Μικρής Άρκτου</t>
  </si>
  <si>
    <t>ζ Ursa Minor</t>
  </si>
  <si>
    <t>i</t>
  </si>
  <si>
    <t>ι</t>
  </si>
  <si>
    <t>Δράκος</t>
  </si>
  <si>
    <t>Sge</t>
  </si>
  <si>
    <t>βελ</t>
  </si>
  <si>
    <t>η Umi</t>
  </si>
  <si>
    <t>η Μικρής Άρκτου</t>
  </si>
  <si>
    <t>η Ursa Minor</t>
  </si>
  <si>
    <t>iot</t>
  </si>
  <si>
    <t>Δρακων</t>
  </si>
  <si>
    <t>Sagittarius</t>
  </si>
  <si>
    <t>Sgr</t>
  </si>
  <si>
    <t>Τοξότης</t>
  </si>
  <si>
    <t>τοξ</t>
  </si>
  <si>
    <t>Ανδρομέδας</t>
  </si>
  <si>
    <t>iota</t>
  </si>
  <si>
    <t>Scorpius</t>
  </si>
  <si>
    <t>(8-9)δ, (7)β</t>
  </si>
  <si>
    <t>Sco</t>
  </si>
  <si>
    <t>Σκορπιός</t>
  </si>
  <si>
    <t>σκο</t>
  </si>
  <si>
    <t>51 And</t>
  </si>
  <si>
    <t>51 Ανδρομέδας</t>
  </si>
  <si>
    <t>51 Andromeda</t>
  </si>
  <si>
    <t>k</t>
  </si>
  <si>
    <t>κ</t>
  </si>
  <si>
    <t>Εξαντας</t>
  </si>
  <si>
    <t>Sextans</t>
  </si>
  <si>
    <t>(12)β</t>
  </si>
  <si>
    <t>Scl</t>
  </si>
  <si>
    <t>γλυ</t>
  </si>
  <si>
    <t>α And</t>
  </si>
  <si>
    <t>α Ανδρομέδας</t>
  </si>
  <si>
    <t>α  Andromeda</t>
  </si>
  <si>
    <t>kap</t>
  </si>
  <si>
    <t>Εξάντας</t>
  </si>
  <si>
    <t>(9)β, (8-9)δ</t>
  </si>
  <si>
    <t>Sct</t>
  </si>
  <si>
    <t>ασπ</t>
  </si>
  <si>
    <t>β And</t>
  </si>
  <si>
    <t>β Ανδρομέδας</t>
  </si>
  <si>
    <t>β Andromeda</t>
  </si>
  <si>
    <t>kapa</t>
  </si>
  <si>
    <t>Εξας</t>
  </si>
  <si>
    <t>Serpans</t>
  </si>
  <si>
    <t>(7)α, (8-9)γ, (9)β</t>
  </si>
  <si>
    <t>Ser</t>
  </si>
  <si>
    <t>Όφις</t>
  </si>
  <si>
    <t>οφι</t>
  </si>
  <si>
    <t>γ And</t>
  </si>
  <si>
    <t>γ Ανδρομέδας. Διπλός</t>
  </si>
  <si>
    <t>γ  Andromeda. Διπλός</t>
  </si>
  <si>
    <t>l</t>
  </si>
  <si>
    <t>λ</t>
  </si>
  <si>
    <t>Εξάς</t>
  </si>
  <si>
    <t>(5)α, (6)γ</t>
  </si>
  <si>
    <t>Sex</t>
  </si>
  <si>
    <t>εξα</t>
  </si>
  <si>
    <t>δ And</t>
  </si>
  <si>
    <t>δ Ανδρομέδας</t>
  </si>
  <si>
    <t>δ Andromeda</t>
  </si>
  <si>
    <t>lam</t>
  </si>
  <si>
    <t>Ζυγος</t>
  </si>
  <si>
    <t>Taurus</t>
  </si>
  <si>
    <t>Tau</t>
  </si>
  <si>
    <t>Ταύρος</t>
  </si>
  <si>
    <t>ταυ</t>
  </si>
  <si>
    <t>ι And</t>
  </si>
  <si>
    <t>ι Ανδρομέδας</t>
  </si>
  <si>
    <t>ι  Andromeda</t>
  </si>
  <si>
    <t>lamda</t>
  </si>
  <si>
    <t>Triangulum</t>
  </si>
  <si>
    <t>(1)β</t>
  </si>
  <si>
    <t>Tri</t>
  </si>
  <si>
    <t>Τρίγωνον</t>
  </si>
  <si>
    <t>τρι</t>
  </si>
  <si>
    <t xml:space="preserve">                                   Ελεύθερες θέσεις Από</t>
  </si>
  <si>
    <t>κ And</t>
  </si>
  <si>
    <t>κ Ανδρομέδας</t>
  </si>
  <si>
    <t>κ  Andromeda</t>
  </si>
  <si>
    <t>m</t>
  </si>
  <si>
    <t>μ</t>
  </si>
  <si>
    <t>Ηνιοχος</t>
  </si>
  <si>
    <t>(6)α, (3-4)α, (5)α</t>
  </si>
  <si>
    <t>Μεγάλη Άρκτος</t>
  </si>
  <si>
    <t>αμε</t>
  </si>
  <si>
    <t xml:space="preserve">                                   A/A Καταχώρισης Από</t>
  </si>
  <si>
    <t>λ And</t>
  </si>
  <si>
    <t>λ Ανδρομέδας</t>
  </si>
  <si>
    <t>λ  Andromeda</t>
  </si>
  <si>
    <t>mu</t>
  </si>
  <si>
    <t>(6)α, (8-9)α</t>
  </si>
  <si>
    <t>Μικρή Άρκτος</t>
  </si>
  <si>
    <t>αμι</t>
  </si>
  <si>
    <t>μ And</t>
  </si>
  <si>
    <t>μ Ανδρομέδας</t>
  </si>
  <si>
    <t>μ  Andromeda</t>
  </si>
  <si>
    <t>n</t>
  </si>
  <si>
    <t>ν</t>
  </si>
  <si>
    <t>Ηρακλης</t>
  </si>
  <si>
    <t>Vela</t>
  </si>
  <si>
    <t>Vel</t>
  </si>
  <si>
    <t>Ιστία</t>
  </si>
  <si>
    <t>ιστ</t>
  </si>
  <si>
    <t>ν And</t>
  </si>
  <si>
    <t>ν Ανδρομέδας</t>
  </si>
  <si>
    <t>ν  Andromeda</t>
  </si>
  <si>
    <t>nu</t>
  </si>
  <si>
    <t>Virgo</t>
  </si>
  <si>
    <t>(6)β, (6)γ, (7)β</t>
  </si>
  <si>
    <t>Vir</t>
  </si>
  <si>
    <t>Παρθένος</t>
  </si>
  <si>
    <t>παρ</t>
  </si>
  <si>
    <t xml:space="preserve">                                       Ελεύθερες θέσεις Προς</t>
  </si>
  <si>
    <t>ο And</t>
  </si>
  <si>
    <t>ο Ανδρομέδας</t>
  </si>
  <si>
    <t>ο  Andromeda</t>
  </si>
  <si>
    <t>ksi</t>
  </si>
  <si>
    <t>ξ</t>
  </si>
  <si>
    <t>Ηριδανος</t>
  </si>
  <si>
    <t>αλω</t>
  </si>
  <si>
    <t xml:space="preserve">                                      A/A Καταχώρισης Προς</t>
  </si>
  <si>
    <t>φ And</t>
  </si>
  <si>
    <t>φ Ανδρομέδας</t>
  </si>
  <si>
    <t>φ   Andromeda</t>
  </si>
  <si>
    <t>o</t>
  </si>
  <si>
    <t>ο</t>
  </si>
  <si>
    <t>Z</t>
  </si>
  <si>
    <t>ψ And</t>
  </si>
  <si>
    <t>ψ Ανδρομέδας</t>
  </si>
  <si>
    <t>ψ  Andromeda</t>
  </si>
  <si>
    <t>omi</t>
  </si>
  <si>
    <t>Θηρευτικοι Κυνες</t>
  </si>
  <si>
    <t>ZZ</t>
  </si>
  <si>
    <t>Έξοδος καταλόγου Αστερισμών</t>
  </si>
  <si>
    <t>Αντλίας</t>
  </si>
  <si>
    <t>omicron</t>
  </si>
  <si>
    <t>Θηρευτικοι Κύνες</t>
  </si>
  <si>
    <t>ZZZ</t>
  </si>
  <si>
    <t>1) Eλέγξτε την πληκτρολόγηση σας.</t>
  </si>
  <si>
    <t>α Ant</t>
  </si>
  <si>
    <t>α Αντλίας</t>
  </si>
  <si>
    <t>α Antlia</t>
  </si>
  <si>
    <t>p</t>
  </si>
  <si>
    <t>π</t>
  </si>
  <si>
    <t>Θηρευτικοί Κυνες</t>
  </si>
  <si>
    <t>ι Ant</t>
  </si>
  <si>
    <t>ι Αντλίας</t>
  </si>
  <si>
    <t>ι Antlia</t>
  </si>
  <si>
    <t>pi</t>
  </si>
  <si>
    <t>Ασπίδας</t>
  </si>
  <si>
    <t>r</t>
  </si>
  <si>
    <t>ρ</t>
  </si>
  <si>
    <t>Ιππαριο</t>
  </si>
  <si>
    <t>α Sct</t>
  </si>
  <si>
    <t>α Ασπίδας</t>
  </si>
  <si>
    <t>α Scutum</t>
  </si>
  <si>
    <t>ro</t>
  </si>
  <si>
    <t>Ιππάριο</t>
  </si>
  <si>
    <t>β Sct</t>
  </si>
  <si>
    <t>β Ασπίδας</t>
  </si>
  <si>
    <t>β Scutum</t>
  </si>
  <si>
    <t>s</t>
  </si>
  <si>
    <t>σ</t>
  </si>
  <si>
    <t>Ιππαριον</t>
  </si>
  <si>
    <t>γ Sct</t>
  </si>
  <si>
    <t>γ Ασπίδας</t>
  </si>
  <si>
    <t>γ Scutum</t>
  </si>
  <si>
    <t>sig</t>
  </si>
  <si>
    <t>αω</t>
  </si>
  <si>
    <t xml:space="preserve">διάφοροι </t>
  </si>
  <si>
    <t>κατάλογοι</t>
  </si>
  <si>
    <t>sigma</t>
  </si>
  <si>
    <t>Ιστια</t>
  </si>
  <si>
    <t>pk 190-17,1</t>
  </si>
  <si>
    <t xml:space="preserve">PK 190-17,1 </t>
  </si>
  <si>
    <t>Πλανητικό νεφέλωμα</t>
  </si>
  <si>
    <t>t</t>
  </si>
  <si>
    <t>τ</t>
  </si>
  <si>
    <t>sge</t>
  </si>
  <si>
    <t>Βέλους</t>
  </si>
  <si>
    <t>tau</t>
  </si>
  <si>
    <t>Ιχθυες</t>
  </si>
  <si>
    <t>α sge</t>
  </si>
  <si>
    <t>α Βέλους</t>
  </si>
  <si>
    <t>α Sagitta</t>
  </si>
  <si>
    <t>y</t>
  </si>
  <si>
    <t>υ</t>
  </si>
  <si>
    <t>β sge</t>
  </si>
  <si>
    <t>β Βέλους</t>
  </si>
  <si>
    <t>β Sagitta</t>
  </si>
  <si>
    <t>ups</t>
  </si>
  <si>
    <t>Ιχθυς</t>
  </si>
  <si>
    <t>γ sge</t>
  </si>
  <si>
    <t>γ Βέλους</t>
  </si>
  <si>
    <t>γ Sagitta</t>
  </si>
  <si>
    <t>f</t>
  </si>
  <si>
    <t>φ</t>
  </si>
  <si>
    <t>Ιχθύς</t>
  </si>
  <si>
    <t>δ sge</t>
  </si>
  <si>
    <t>δ Βέλους</t>
  </si>
  <si>
    <t>δ Sagitta</t>
  </si>
  <si>
    <t>fi</t>
  </si>
  <si>
    <t>Καμηλοπαρδαλη</t>
  </si>
  <si>
    <t>Βοώτου</t>
  </si>
  <si>
    <t>phi</t>
  </si>
  <si>
    <t>Καμηλοπάρδαλη</t>
  </si>
  <si>
    <t>44 Boo</t>
  </si>
  <si>
    <t>44 Βοώτου. Διπλός</t>
  </si>
  <si>
    <t>44 Boo. Διπλός</t>
  </si>
  <si>
    <t>x</t>
  </si>
  <si>
    <t>χ</t>
  </si>
  <si>
    <t>Καμηλοπαρδαλης</t>
  </si>
  <si>
    <t>α Boo</t>
  </si>
  <si>
    <t>α Βοώτου</t>
  </si>
  <si>
    <t>hi</t>
  </si>
  <si>
    <t>Καμηλοπάρδαλης</t>
  </si>
  <si>
    <t>β Boo</t>
  </si>
  <si>
    <t>β Βοώτου</t>
  </si>
  <si>
    <t>he</t>
  </si>
  <si>
    <t>Καμηλοπαρδαλις</t>
  </si>
  <si>
    <t>γ Boo</t>
  </si>
  <si>
    <t>γ Βοώτου</t>
  </si>
  <si>
    <t>psi</t>
  </si>
  <si>
    <t>ψ</t>
  </si>
  <si>
    <t>δ Boo</t>
  </si>
  <si>
    <t>δ Βοώτου</t>
  </si>
  <si>
    <t>ome</t>
  </si>
  <si>
    <t>ω</t>
  </si>
  <si>
    <t>Καμινος</t>
  </si>
  <si>
    <t>ε Boo</t>
  </si>
  <si>
    <t>ε Βοώτου. Διπλός</t>
  </si>
  <si>
    <t>ε Boo. Διπλός</t>
  </si>
  <si>
    <t>omega</t>
  </si>
  <si>
    <t>ζ Boo</t>
  </si>
  <si>
    <t>ζ Βοώτου</t>
  </si>
  <si>
    <t>Καρκινος</t>
  </si>
  <si>
    <t>η Boo</t>
  </si>
  <si>
    <t>η Βοώτου</t>
  </si>
  <si>
    <t>θ Boo</t>
  </si>
  <si>
    <t>θ Βοώτου</t>
  </si>
  <si>
    <t>Γράμματα που ακολουθούνται από αριθμό</t>
  </si>
  <si>
    <t>Κασιοπη</t>
  </si>
  <si>
    <t>ι boo</t>
  </si>
  <si>
    <t>ι Βοώτου</t>
  </si>
  <si>
    <t>ι Boo</t>
  </si>
  <si>
    <t>Κασιόπη</t>
  </si>
  <si>
    <t>κ Boo</t>
  </si>
  <si>
    <t>κ Βοώτου. Διπλός</t>
  </si>
  <si>
    <t>κ Boo. Διπλός</t>
  </si>
  <si>
    <t>z1</t>
  </si>
  <si>
    <t>ζ1</t>
  </si>
  <si>
    <t>Κασσιοπη</t>
  </si>
  <si>
    <t>λ boo</t>
  </si>
  <si>
    <t>λ Βοώτου</t>
  </si>
  <si>
    <t>λ Boo</t>
  </si>
  <si>
    <t>zet1</t>
  </si>
  <si>
    <t>μ Boo</t>
  </si>
  <si>
    <t>μ Βοώτου. Διπλός</t>
  </si>
  <si>
    <t>μ Boo. Διπλός</t>
  </si>
  <si>
    <t>zeta1</t>
  </si>
  <si>
    <t>Κενταυρος</t>
  </si>
  <si>
    <t>ξ Boo</t>
  </si>
  <si>
    <t>ξ Βοώτου. Διπλός</t>
  </si>
  <si>
    <t>ξ Boo. Διπλός</t>
  </si>
  <si>
    <t>n1</t>
  </si>
  <si>
    <t>ν1</t>
  </si>
  <si>
    <t>ο boo</t>
  </si>
  <si>
    <t>ο Βοώτου</t>
  </si>
  <si>
    <t>ο Boo</t>
  </si>
  <si>
    <t>nu1</t>
  </si>
  <si>
    <t>Κητος</t>
  </si>
  <si>
    <t>π Boo</t>
  </si>
  <si>
    <t>π Βοώτου. Διπλός</t>
  </si>
  <si>
    <t>π Boo. Διπλός</t>
  </si>
  <si>
    <t>o1</t>
  </si>
  <si>
    <t>ο1</t>
  </si>
  <si>
    <t>ρ boo</t>
  </si>
  <si>
    <t>ρ Βοώτου</t>
  </si>
  <si>
    <t>ρ Boo</t>
  </si>
  <si>
    <t>omi1</t>
  </si>
  <si>
    <t>Κηφεας</t>
  </si>
  <si>
    <t>σ boo</t>
  </si>
  <si>
    <t>σ Βοώτου</t>
  </si>
  <si>
    <t>σ Boo</t>
  </si>
  <si>
    <t>omicron1</t>
  </si>
  <si>
    <t>Κηφέας</t>
  </si>
  <si>
    <t>τ boo</t>
  </si>
  <si>
    <t>τ Βοώτου</t>
  </si>
  <si>
    <t>τ Boo</t>
  </si>
  <si>
    <t>o2</t>
  </si>
  <si>
    <t>ο2</t>
  </si>
  <si>
    <t>Κηφευς</t>
  </si>
  <si>
    <t>υ boo</t>
  </si>
  <si>
    <t>υ Βοώτου</t>
  </si>
  <si>
    <t>υ Boo</t>
  </si>
  <si>
    <t>omi2</t>
  </si>
  <si>
    <t>Βωμού</t>
  </si>
  <si>
    <t>omicron2</t>
  </si>
  <si>
    <t>Κομη</t>
  </si>
  <si>
    <t>Γερανού</t>
  </si>
  <si>
    <t>t1</t>
  </si>
  <si>
    <t>τ1</t>
  </si>
  <si>
    <t>Κόμη</t>
  </si>
  <si>
    <t>Γλύπτη</t>
  </si>
  <si>
    <t>tau1</t>
  </si>
  <si>
    <t>Κομη Βερενικης</t>
  </si>
  <si>
    <t>γ Scl</t>
  </si>
  <si>
    <t>γ Γλύπτη</t>
  </si>
  <si>
    <t>γ Sculptor</t>
  </si>
  <si>
    <t>t2</t>
  </si>
  <si>
    <t>τ2</t>
  </si>
  <si>
    <t>Κομη Βερενίκης</t>
  </si>
  <si>
    <t>δ Scl</t>
  </si>
  <si>
    <t>δ Γλύπτη</t>
  </si>
  <si>
    <t>δ Sculptor</t>
  </si>
  <si>
    <t>tau2</t>
  </si>
  <si>
    <t>Κόμη Βερενικης</t>
  </si>
  <si>
    <t>Γνώμονα</t>
  </si>
  <si>
    <t>t3</t>
  </si>
  <si>
    <t>τ3</t>
  </si>
  <si>
    <t>Δελφίνος</t>
  </si>
  <si>
    <t>tau3</t>
  </si>
  <si>
    <t>Κορακας</t>
  </si>
  <si>
    <t>α Del</t>
  </si>
  <si>
    <t>α Δελφίνος</t>
  </si>
  <si>
    <t>α Delphinus</t>
  </si>
  <si>
    <t>t4</t>
  </si>
  <si>
    <t>τ4</t>
  </si>
  <si>
    <t>Κόρακας</t>
  </si>
  <si>
    <t>β Del</t>
  </si>
  <si>
    <t>β Δελφίνος</t>
  </si>
  <si>
    <t>β Delphinus</t>
  </si>
  <si>
    <t>tau4</t>
  </si>
  <si>
    <t>Κοραξ</t>
  </si>
  <si>
    <t>γ Del</t>
  </si>
  <si>
    <t>γ Δελφίνος Διπλός</t>
  </si>
  <si>
    <t>γ Delphinus Διπλός</t>
  </si>
  <si>
    <t>t5</t>
  </si>
  <si>
    <t>τ5</t>
  </si>
  <si>
    <t>δ Del</t>
  </si>
  <si>
    <t>δ Δελφίνος</t>
  </si>
  <si>
    <t>δ Delphinus</t>
  </si>
  <si>
    <t>tau5</t>
  </si>
  <si>
    <t>Κρατηρ</t>
  </si>
  <si>
    <t>ε Del</t>
  </si>
  <si>
    <t>ε Δελφίνος</t>
  </si>
  <si>
    <t>ε Delphinus</t>
  </si>
  <si>
    <t>y1</t>
  </si>
  <si>
    <t>υ1</t>
  </si>
  <si>
    <t>ζ Del</t>
  </si>
  <si>
    <t>ζ Δελφίνος</t>
  </si>
  <si>
    <t>ζ Delphinus</t>
  </si>
  <si>
    <t>ups1</t>
  </si>
  <si>
    <t>Κρατηρας</t>
  </si>
  <si>
    <t>η Del</t>
  </si>
  <si>
    <t>η Δελφίνος</t>
  </si>
  <si>
    <t>η Delphinus</t>
  </si>
  <si>
    <t>psi1</t>
  </si>
  <si>
    <t>ψ1</t>
  </si>
  <si>
    <t>Κρατήρας</t>
  </si>
  <si>
    <t>ι Del</t>
  </si>
  <si>
    <t>ι Δελφίνος</t>
  </si>
  <si>
    <t>ι Delphinus</t>
  </si>
  <si>
    <t>psi2</t>
  </si>
  <si>
    <t>ψ2</t>
  </si>
  <si>
    <t>Κριος</t>
  </si>
  <si>
    <t>κ Del</t>
  </si>
  <si>
    <t>κ Δελφίνος</t>
  </si>
  <si>
    <t>κ Delphinus</t>
  </si>
  <si>
    <t>ome2</t>
  </si>
  <si>
    <t>ω2</t>
  </si>
  <si>
    <t>Διδύμων</t>
  </si>
  <si>
    <t>omega2</t>
  </si>
  <si>
    <t>Κυκνος</t>
  </si>
  <si>
    <t>α Gem</t>
  </si>
  <si>
    <t>Κάστωρ Πολλαπλός</t>
  </si>
  <si>
    <t>Castor. Διπλός</t>
  </si>
  <si>
    <t>r1</t>
  </si>
  <si>
    <t>ρ1</t>
  </si>
  <si>
    <t>β Gem</t>
  </si>
  <si>
    <t>Πολυδεύκης</t>
  </si>
  <si>
    <t>Pollux</t>
  </si>
  <si>
    <t>ro1</t>
  </si>
  <si>
    <t>Λαγος</t>
  </si>
  <si>
    <t>γ Gem</t>
  </si>
  <si>
    <t>γ Διδύμων</t>
  </si>
  <si>
    <t>γ Gemini</t>
  </si>
  <si>
    <t>r2</t>
  </si>
  <si>
    <t>ρ2</t>
  </si>
  <si>
    <t>Λαγός</t>
  </si>
  <si>
    <t>δ Gem</t>
  </si>
  <si>
    <t>δ Διδύμων</t>
  </si>
  <si>
    <t>δ Gemini</t>
  </si>
  <si>
    <t>ro2</t>
  </si>
  <si>
    <t>Λαγωος</t>
  </si>
  <si>
    <t>ε Gem</t>
  </si>
  <si>
    <t>ε Διδύμων</t>
  </si>
  <si>
    <t>ε Gemini</t>
  </si>
  <si>
    <t>r3</t>
  </si>
  <si>
    <t>ρ3</t>
  </si>
  <si>
    <t>ζ Gem</t>
  </si>
  <si>
    <t>ζ Διδύμων</t>
  </si>
  <si>
    <t>ζ Gemini</t>
  </si>
  <si>
    <t>ro3</t>
  </si>
  <si>
    <t>Λεων</t>
  </si>
  <si>
    <t>η Gem</t>
  </si>
  <si>
    <t>η Διδύμων</t>
  </si>
  <si>
    <t>η Gemini</t>
  </si>
  <si>
    <t>μ Gem</t>
  </si>
  <si>
    <t>μ Διδύμων</t>
  </si>
  <si>
    <t>μ Gemini</t>
  </si>
  <si>
    <t>Λιγκας</t>
  </si>
  <si>
    <t>Δράκοντα</t>
  </si>
  <si>
    <t>Λίγκας</t>
  </si>
  <si>
    <t>α Dra</t>
  </si>
  <si>
    <t>α Δράκοντα</t>
  </si>
  <si>
    <t>α Draco</t>
  </si>
  <si>
    <t>Λυγκας</t>
  </si>
  <si>
    <t>β Dra</t>
  </si>
  <si>
    <t>β αΔράκοντα</t>
  </si>
  <si>
    <t>β Draco</t>
  </si>
  <si>
    <t>Λύγκας</t>
  </si>
  <si>
    <t>γ Dra</t>
  </si>
  <si>
    <t>γ Δράκοντα</t>
  </si>
  <si>
    <t>γ Draco</t>
  </si>
  <si>
    <t>δ Dra</t>
  </si>
  <si>
    <t>δ Δράκοντα</t>
  </si>
  <si>
    <t>δ Draco</t>
  </si>
  <si>
    <t>Λύγξ</t>
  </si>
  <si>
    <t>ε Dra</t>
  </si>
  <si>
    <t>ε Δράκοντα</t>
  </si>
  <si>
    <t>ε Draco</t>
  </si>
  <si>
    <t>Σύνθεση</t>
  </si>
  <si>
    <t>Λυκος</t>
  </si>
  <si>
    <t>ζ Dra</t>
  </si>
  <si>
    <t>ζ Δράκοντα. Διπλό</t>
  </si>
  <si>
    <t>ζ Draco. Διπλό</t>
  </si>
  <si>
    <t>η Dra</t>
  </si>
  <si>
    <t>η Δράκοντα</t>
  </si>
  <si>
    <t>η Draco</t>
  </si>
  <si>
    <t xml:space="preserve"> (Α) Κελί</t>
  </si>
  <si>
    <t>Λυρα</t>
  </si>
  <si>
    <t>θ Dra</t>
  </si>
  <si>
    <t>θ Δράκοντα</t>
  </si>
  <si>
    <t>θ Draco</t>
  </si>
  <si>
    <t>Αν το κάτω=0;"";" "</t>
  </si>
  <si>
    <t>Κενό διάστημα</t>
  </si>
  <si>
    <t>ι Dra</t>
  </si>
  <si>
    <t>ι Δράκοντα</t>
  </si>
  <si>
    <t>ι Draco</t>
  </si>
  <si>
    <t xml:space="preserve"> (Β) Κελί</t>
  </si>
  <si>
    <t>Μεγαλη Αρκτος</t>
  </si>
  <si>
    <t>κ Dra</t>
  </si>
  <si>
    <t>κ Δράκοντα. Διπλός</t>
  </si>
  <si>
    <t>κ Draco. Διπλός</t>
  </si>
  <si>
    <t>Aν το επάνω = 0 ; ""</t>
  </si>
  <si>
    <t>Μεγαλη Άρκτος</t>
  </si>
  <si>
    <t>λ Dra</t>
  </si>
  <si>
    <t>λ Δράκοντα</t>
  </si>
  <si>
    <t>λ Draco</t>
  </si>
  <si>
    <t>Concatenate</t>
  </si>
  <si>
    <t>Μεγάλη Αρκτος</t>
  </si>
  <si>
    <t>ν Dra</t>
  </si>
  <si>
    <t>ν Δράκοντα Διπλός</t>
  </si>
  <si>
    <t>ν Draco. Διπλός</t>
  </si>
  <si>
    <t>αν το γκρι =0 ; 0 ; Το μωβ</t>
  </si>
  <si>
    <t>ξ Dra</t>
  </si>
  <si>
    <t>ξ Δράκοντα</t>
  </si>
  <si>
    <t>ξ Draco</t>
  </si>
  <si>
    <t>Μεγαλος Κυνας</t>
  </si>
  <si>
    <t>τ Dra</t>
  </si>
  <si>
    <t>τ Δράκοντα</t>
  </si>
  <si>
    <t>τ Draco</t>
  </si>
  <si>
    <t>Μεγαλος Κύνας</t>
  </si>
  <si>
    <t>φ Dra</t>
  </si>
  <si>
    <t>φ Δράκοντα</t>
  </si>
  <si>
    <t>φ Draco</t>
  </si>
  <si>
    <t>Μεγάλος Κυνας</t>
  </si>
  <si>
    <t>χ Dra</t>
  </si>
  <si>
    <t>χ Δράκοντα</t>
  </si>
  <si>
    <t>χ Draco</t>
  </si>
  <si>
    <t>Μεγάλος Κύνας</t>
  </si>
  <si>
    <t>IC</t>
  </si>
  <si>
    <t>Κατάλογος</t>
  </si>
  <si>
    <t xml:space="preserve">        IC</t>
  </si>
  <si>
    <t>Μεγαλος Κυων</t>
  </si>
  <si>
    <t>IC 418</t>
  </si>
  <si>
    <t>IC 0418 Πλανητικό Νεφέλωμα</t>
  </si>
  <si>
    <t>Spirograph νεφέλωμα</t>
  </si>
  <si>
    <t>Μεγαλος Κύων</t>
  </si>
  <si>
    <t>IC 1276</t>
  </si>
  <si>
    <t>IC 1276 Σφαιρωτό σμήνος</t>
  </si>
  <si>
    <t>17. 600 Ly George Ogden Abell</t>
  </si>
  <si>
    <t>Μεγάλος Κυων</t>
  </si>
  <si>
    <t>IC 2003</t>
  </si>
  <si>
    <t>IC 2003 Πλανητικό Νεφέλωμα</t>
  </si>
  <si>
    <t>Μεγάλος Κύων</t>
  </si>
  <si>
    <t>IC 2149</t>
  </si>
  <si>
    <t>IC 2149 Πλανητικό Νεφέλωμα</t>
  </si>
  <si>
    <t>Πλανητικό Νεφέλωμα</t>
  </si>
  <si>
    <t>Μεγαλος Σκυλος</t>
  </si>
  <si>
    <t>IC 2165</t>
  </si>
  <si>
    <t>IC 2165 Πλανητικό Νεφέλωμα</t>
  </si>
  <si>
    <t>Μεγαλος Σκύλος</t>
  </si>
  <si>
    <t>IC 3568</t>
  </si>
  <si>
    <t>IC 3568 Πλανητικό Νεφέλωμα Φέτα Λεμονιού</t>
  </si>
  <si>
    <t>Lemon Slice Nebula</t>
  </si>
  <si>
    <t>Μεγάλος Σκυλος</t>
  </si>
  <si>
    <t>IC 4776</t>
  </si>
  <si>
    <t>IC 4776 Πλανητικό Νεφέλωμα</t>
  </si>
  <si>
    <t>Μεγάλος Σκύλος</t>
  </si>
  <si>
    <t>IC 4997</t>
  </si>
  <si>
    <t>IC 4997 Πλανητικό Νεφέλωμα</t>
  </si>
  <si>
    <t>Πλανητικό Νεφέλωμα "Αστρο"</t>
  </si>
  <si>
    <t>Μεγας Κυνας</t>
  </si>
  <si>
    <t>IC 5146</t>
  </si>
  <si>
    <t>IC 5146 Νεφέλωμα εκπομπής</t>
  </si>
  <si>
    <t>Cocoon Nebula</t>
  </si>
  <si>
    <t>Μεγας Κύνας</t>
  </si>
  <si>
    <t>IC 5271</t>
  </si>
  <si>
    <t>IC 5271-10,8Γαλαξίας</t>
  </si>
  <si>
    <t xml:space="preserve">79 Mly Lewis Swift </t>
  </si>
  <si>
    <t>Μέγας Κυνας</t>
  </si>
  <si>
    <t>εξάντα</t>
  </si>
  <si>
    <t>Μέγας Κύνας</t>
  </si>
  <si>
    <t>α Sex</t>
  </si>
  <si>
    <t>α εξάντα</t>
  </si>
  <si>
    <t>α Sextans</t>
  </si>
  <si>
    <t>Μεγας Κυων</t>
  </si>
  <si>
    <t>β Sex</t>
  </si>
  <si>
    <t>β εξάντα</t>
  </si>
  <si>
    <t>β Sextans</t>
  </si>
  <si>
    <t>Μεγας Κύων</t>
  </si>
  <si>
    <t>γ Sex</t>
  </si>
  <si>
    <t>γ εξάντα</t>
  </si>
  <si>
    <t>γ Sextans</t>
  </si>
  <si>
    <t>Μέγας Κυων</t>
  </si>
  <si>
    <t>Ζυγού</t>
  </si>
  <si>
    <t>α Lib</t>
  </si>
  <si>
    <t>α Ζυγού. Διπλός</t>
  </si>
  <si>
    <t>α Libra. Διπλός</t>
  </si>
  <si>
    <t>Μικρη Αρκτος</t>
  </si>
  <si>
    <t>β Lib</t>
  </si>
  <si>
    <t>β Ζυγού</t>
  </si>
  <si>
    <t>β Libra</t>
  </si>
  <si>
    <t>Μικρη Άρκτος</t>
  </si>
  <si>
    <t>γ Lib</t>
  </si>
  <si>
    <t>γ Ζυγού</t>
  </si>
  <si>
    <t>γ Libra</t>
  </si>
  <si>
    <t>Μικρή Αρκτος</t>
  </si>
  <si>
    <t>σ Lib</t>
  </si>
  <si>
    <t>σ Ζυγού</t>
  </si>
  <si>
    <t>σ Libra</t>
  </si>
  <si>
    <t>Ηνιόχου</t>
  </si>
  <si>
    <t>Μικρος Κυνας</t>
  </si>
  <si>
    <t>α Aur</t>
  </si>
  <si>
    <t>α Ηνιόχου. Αίγα</t>
  </si>
  <si>
    <t>α Auriga. Capella</t>
  </si>
  <si>
    <t>Μικρος Κύνας</t>
  </si>
  <si>
    <t>β Aur</t>
  </si>
  <si>
    <t>β Ηνιόχου</t>
  </si>
  <si>
    <t>β Auriga</t>
  </si>
  <si>
    <t>Μικρός Κυνας</t>
  </si>
  <si>
    <t>θ Aur</t>
  </si>
  <si>
    <t>θ Ηνιόχου</t>
  </si>
  <si>
    <t>θ Auriga</t>
  </si>
  <si>
    <t>Μικρός Κύνας</t>
  </si>
  <si>
    <t>ι Aur</t>
  </si>
  <si>
    <t>ι Ηνιόχου</t>
  </si>
  <si>
    <t>ι Auriga</t>
  </si>
  <si>
    <t>Μικρος Κυων</t>
  </si>
  <si>
    <t>Ηρακλέους</t>
  </si>
  <si>
    <t>Μικρος Κύων</t>
  </si>
  <si>
    <t>95 Her</t>
  </si>
  <si>
    <t>95 Ηρακλέους. Διπλός</t>
  </si>
  <si>
    <t>45 Hercules. Διπλός</t>
  </si>
  <si>
    <t>Μικρός Κυων</t>
  </si>
  <si>
    <t>α Her</t>
  </si>
  <si>
    <t>α Ηρακλέους. Διπλός</t>
  </si>
  <si>
    <t>α Hercules. Διπλός</t>
  </si>
  <si>
    <t>β Her</t>
  </si>
  <si>
    <t>β Ηρακλέους</t>
  </si>
  <si>
    <t>β Hercules</t>
  </si>
  <si>
    <t>Μικρος Λεων</t>
  </si>
  <si>
    <t>γ Her</t>
  </si>
  <si>
    <t>γ Ηρακλέους. Διπλός</t>
  </si>
  <si>
    <t>γ Hercules. Διπλός</t>
  </si>
  <si>
    <t>Μικρος Λέων</t>
  </si>
  <si>
    <t>δ Her</t>
  </si>
  <si>
    <t>δ Ηρακλέους. Διπλός</t>
  </si>
  <si>
    <t>δ Hercules. Διπολός</t>
  </si>
  <si>
    <t>Μικρός Λεων</t>
  </si>
  <si>
    <t>ε Her</t>
  </si>
  <si>
    <t>ε Ηρακλέους</t>
  </si>
  <si>
    <t>ε Hercules</t>
  </si>
  <si>
    <t>ζ Her</t>
  </si>
  <si>
    <t>ζ Ηρακλέους</t>
  </si>
  <si>
    <t>ζ Hercules</t>
  </si>
  <si>
    <t>Μικρος Σκυλος</t>
  </si>
  <si>
    <t>η Her</t>
  </si>
  <si>
    <t>η Ηρακλέους</t>
  </si>
  <si>
    <t>η Hercules</t>
  </si>
  <si>
    <t>Μικρος Σκύλος</t>
  </si>
  <si>
    <t>θ Her</t>
  </si>
  <si>
    <t>θ Ηρακλέους</t>
  </si>
  <si>
    <t>θ Hercules</t>
  </si>
  <si>
    <t>Μικρός Σκυλος</t>
  </si>
  <si>
    <t>ι Her</t>
  </si>
  <si>
    <t>ι Ηρακλέους</t>
  </si>
  <si>
    <t>ι Hercules</t>
  </si>
  <si>
    <t>Μικρός Σκύλος</t>
  </si>
  <si>
    <t>κ Her</t>
  </si>
  <si>
    <t>κ Ηρακλέους. Διπλός</t>
  </si>
  <si>
    <t>κ Hercules. Διπλός</t>
  </si>
  <si>
    <t>Μικροσκοπιο</t>
  </si>
  <si>
    <t>λ Her</t>
  </si>
  <si>
    <t>λ Ηρακλέους</t>
  </si>
  <si>
    <t>λ Hercules</t>
  </si>
  <si>
    <t>Μικροσκόπιο</t>
  </si>
  <si>
    <t>μ Her</t>
  </si>
  <si>
    <t>μ Ηρακλέους</t>
  </si>
  <si>
    <t>μ Hercules</t>
  </si>
  <si>
    <t>Μικροσκοπιον</t>
  </si>
  <si>
    <t>ν Her</t>
  </si>
  <si>
    <t>ν Ηρακλέους</t>
  </si>
  <si>
    <t>ν Hercules</t>
  </si>
  <si>
    <t>ξ Her</t>
  </si>
  <si>
    <t>ξ Ηρακλέους</t>
  </si>
  <si>
    <t>ξ Hercules</t>
  </si>
  <si>
    <t>Μονοκερος</t>
  </si>
  <si>
    <t>ο Her</t>
  </si>
  <si>
    <t>ο Ηρακλέους</t>
  </si>
  <si>
    <t>ο Hercules</t>
  </si>
  <si>
    <t>Μονόκερος</t>
  </si>
  <si>
    <t>π Her</t>
  </si>
  <si>
    <t>π Ηρακλέους</t>
  </si>
  <si>
    <t>π Hercules</t>
  </si>
  <si>
    <t>Μονοκερως</t>
  </si>
  <si>
    <t>ρ Her</t>
  </si>
  <si>
    <t>ρ Ηρακλέους. Διπλός</t>
  </si>
  <si>
    <t>ρ Hercules. Διπλός</t>
  </si>
  <si>
    <t>σ Her</t>
  </si>
  <si>
    <t>σ Ηρακλέους. Διπλός</t>
  </si>
  <si>
    <t>σ Hercules. Διπλός</t>
  </si>
  <si>
    <t>Νοτιος ιχθυς</t>
  </si>
  <si>
    <t>τ Her</t>
  </si>
  <si>
    <t>τ Ηρακλέους. Διπλός</t>
  </si>
  <si>
    <t>τ Hercules. Διπλός</t>
  </si>
  <si>
    <t>Νοτιος ιχθύς</t>
  </si>
  <si>
    <t>υ Her</t>
  </si>
  <si>
    <t>υ Ηρακλέους</t>
  </si>
  <si>
    <t>υ Hercules</t>
  </si>
  <si>
    <t>Νότιος Ιχθυς</t>
  </si>
  <si>
    <t>φ Her</t>
  </si>
  <si>
    <t>φ Ηρακλέους</t>
  </si>
  <si>
    <t>φ Hercules</t>
  </si>
  <si>
    <t>χ Her</t>
  </si>
  <si>
    <t>χ Ηρακλέους</t>
  </si>
  <si>
    <t>χ Hercules</t>
  </si>
  <si>
    <t>Νοτιος Στεφανος</t>
  </si>
  <si>
    <t>Ηριδανού</t>
  </si>
  <si>
    <t>Νοτιος Στέφανος</t>
  </si>
  <si>
    <t>β Eri</t>
  </si>
  <si>
    <t>β Ηριδανού</t>
  </si>
  <si>
    <t>β Eridanus</t>
  </si>
  <si>
    <t>Νότιος Στεφανος</t>
  </si>
  <si>
    <t>γ Eri</t>
  </si>
  <si>
    <t>γ Ηριδανού</t>
  </si>
  <si>
    <t>γ Eridanus</t>
  </si>
  <si>
    <t>δ Eri</t>
  </si>
  <si>
    <t>δ Ηριδανού</t>
  </si>
  <si>
    <t>δ Eridanus</t>
  </si>
  <si>
    <t>Οφιουχος</t>
  </si>
  <si>
    <t>ε Eri</t>
  </si>
  <si>
    <t>ε Ηριδανού</t>
  </si>
  <si>
    <t>ε Eridanus</t>
  </si>
  <si>
    <t>ζ Eri</t>
  </si>
  <si>
    <t>ζ Ηριδανού</t>
  </si>
  <si>
    <t>ζ Eridanus</t>
  </si>
  <si>
    <t>Οφις</t>
  </si>
  <si>
    <t>η Eri</t>
  </si>
  <si>
    <t>η Ηριδανού</t>
  </si>
  <si>
    <t>η Eridanus</t>
  </si>
  <si>
    <t>μ Eri</t>
  </si>
  <si>
    <t>μ Ηριδανού</t>
  </si>
  <si>
    <t>μ Eridanus</t>
  </si>
  <si>
    <t>Παρθενος</t>
  </si>
  <si>
    <t>ν Eri</t>
  </si>
  <si>
    <t>ν Ηριδανού</t>
  </si>
  <si>
    <t>ν Eridanus</t>
  </si>
  <si>
    <t>ο1 Eri</t>
  </si>
  <si>
    <t>ο1 Ηριδανού</t>
  </si>
  <si>
    <t>ο1 Eridanus</t>
  </si>
  <si>
    <t>περιστερα</t>
  </si>
  <si>
    <t>π Eri</t>
  </si>
  <si>
    <t>π Ηριδανού</t>
  </si>
  <si>
    <t>π Eridanus</t>
  </si>
  <si>
    <t>περιστερά</t>
  </si>
  <si>
    <t>ρ1 eri</t>
  </si>
  <si>
    <t>ρ1 Ηριδανού</t>
  </si>
  <si>
    <t>ρ1 Eridanus</t>
  </si>
  <si>
    <t>περιστέρα</t>
  </si>
  <si>
    <t>ρ2 eri</t>
  </si>
  <si>
    <t>ρ2 Ηριδανου</t>
  </si>
  <si>
    <t>Διπλός - Πολλαπλός</t>
  </si>
  <si>
    <t>περιστερι</t>
  </si>
  <si>
    <t>ρ3 eri</t>
  </si>
  <si>
    <t>ρ3 Ηριδανού</t>
  </si>
  <si>
    <t>ρ3 Eridanus</t>
  </si>
  <si>
    <t>περιστέρι</t>
  </si>
  <si>
    <t>τ1 Eri</t>
  </si>
  <si>
    <t>τ1 Ηριδανού</t>
  </si>
  <si>
    <t>τ1 Eridanus</t>
  </si>
  <si>
    <t>περσεας</t>
  </si>
  <si>
    <t>τ2 Eri</t>
  </si>
  <si>
    <t>τ2 Ηριδανού</t>
  </si>
  <si>
    <t>τ2 Eridanus</t>
  </si>
  <si>
    <t>Περσέας</t>
  </si>
  <si>
    <t>τ3 Eri</t>
  </si>
  <si>
    <t>τ3 Ηριδανού</t>
  </si>
  <si>
    <t>τ3 Eridanus</t>
  </si>
  <si>
    <t>Περσευς</t>
  </si>
  <si>
    <t>τ4 Eri</t>
  </si>
  <si>
    <t>τ4 Ηριδανού</t>
  </si>
  <si>
    <t>τ4 Eridanus</t>
  </si>
  <si>
    <t>τ5 Eri</t>
  </si>
  <si>
    <t>τ5 Ηριδανού. Φασματικά διπλός.</t>
  </si>
  <si>
    <t>τ5 Eridanus. Spectroscopic binary.</t>
  </si>
  <si>
    <t>Πηγασος</t>
  </si>
  <si>
    <t>ω eri</t>
  </si>
  <si>
    <t>ω Ηριδανού</t>
  </si>
  <si>
    <t xml:space="preserve">ω Eri </t>
  </si>
  <si>
    <t>Ιππαρίου</t>
  </si>
  <si>
    <t>Πρυμη</t>
  </si>
  <si>
    <t>α Equ</t>
  </si>
  <si>
    <t>α Ιππαρίου</t>
  </si>
  <si>
    <t>α Equuleus</t>
  </si>
  <si>
    <t>Πρύμη</t>
  </si>
  <si>
    <t>γ Equ</t>
  </si>
  <si>
    <t>γ Ιππρίου</t>
  </si>
  <si>
    <t>γ Equuleus</t>
  </si>
  <si>
    <t>Πρυμνη</t>
  </si>
  <si>
    <t>δ Equ</t>
  </si>
  <si>
    <t>δ Ιππαρίου</t>
  </si>
  <si>
    <t>δ Equuleus</t>
  </si>
  <si>
    <t>ε Equ</t>
  </si>
  <si>
    <t>ε Ιππαρίου Διπλός</t>
  </si>
  <si>
    <t>ε Equuleus</t>
  </si>
  <si>
    <t>Πυξιδα</t>
  </si>
  <si>
    <t>Ιστίων</t>
  </si>
  <si>
    <t>Πυξίδα</t>
  </si>
  <si>
    <t>Ιχθύων</t>
  </si>
  <si>
    <t>Πυξις</t>
  </si>
  <si>
    <t>α Psc</t>
  </si>
  <si>
    <t>α Ιχθύων</t>
  </si>
  <si>
    <t>α Pisces</t>
  </si>
  <si>
    <t>β Psc</t>
  </si>
  <si>
    <t>β Ιχθύων</t>
  </si>
  <si>
    <t>β Pisces</t>
  </si>
  <si>
    <t>Σαυρα</t>
  </si>
  <si>
    <t>γ Psc</t>
  </si>
  <si>
    <t>γ Ιχθύων</t>
  </si>
  <si>
    <t>γ Pisces</t>
  </si>
  <si>
    <t>δ Psc</t>
  </si>
  <si>
    <t>δ Ιχθύων</t>
  </si>
  <si>
    <t>δ Pisces</t>
  </si>
  <si>
    <t>Σκορπιος</t>
  </si>
  <si>
    <t>ε Psc</t>
  </si>
  <si>
    <t>ε Ιχθύων. Διπλός</t>
  </si>
  <si>
    <t>ε Pisces. Διπλός</t>
  </si>
  <si>
    <t>η Psc</t>
  </si>
  <si>
    <t>η Ιχθύων. Διπλός</t>
  </si>
  <si>
    <t>η Pisces. Διπλός</t>
  </si>
  <si>
    <t>Ταυρος</t>
  </si>
  <si>
    <t>θ Psc</t>
  </si>
  <si>
    <t>θ Ιχθύων</t>
  </si>
  <si>
    <t>θ Pisces</t>
  </si>
  <si>
    <t>ι Psc</t>
  </si>
  <si>
    <t>ι Ιχθύων</t>
  </si>
  <si>
    <t>ι Pisces</t>
  </si>
  <si>
    <t>Τοξοτης</t>
  </si>
  <si>
    <t>κ Psc</t>
  </si>
  <si>
    <t>κ Ιχθύων</t>
  </si>
  <si>
    <t>κ Pisces</t>
  </si>
  <si>
    <t>λ Psc</t>
  </si>
  <si>
    <t>λ Ιχθύων</t>
  </si>
  <si>
    <t>λ Pisces</t>
  </si>
  <si>
    <t>Τριγωνο</t>
  </si>
  <si>
    <t>μ Psc</t>
  </si>
  <si>
    <t>μ Ιχθύων</t>
  </si>
  <si>
    <t>μ Pisces</t>
  </si>
  <si>
    <t>Τρίγωνο</t>
  </si>
  <si>
    <t>ν Psc</t>
  </si>
  <si>
    <t>ν Ιχθύων</t>
  </si>
  <si>
    <t>ν Pisces</t>
  </si>
  <si>
    <t>Τριγωνον</t>
  </si>
  <si>
    <t>ο Psc</t>
  </si>
  <si>
    <t>ο Ιχθύων</t>
  </si>
  <si>
    <t>ο Pisces</t>
  </si>
  <si>
    <t>ω Psc</t>
  </si>
  <si>
    <t>ω Ιχθύων</t>
  </si>
  <si>
    <t>ω Pisces</t>
  </si>
  <si>
    <t>Τροπιδα</t>
  </si>
  <si>
    <t>Νοτίου ιχθύ</t>
  </si>
  <si>
    <t>Τροπίδα</t>
  </si>
  <si>
    <t>α PsA</t>
  </si>
  <si>
    <t>α Νοτίου ιχθύ. Fomalhaut. Διπλός</t>
  </si>
  <si>
    <t>α Piscis Austrinus. Fomalhaut. Διπλός</t>
  </si>
  <si>
    <t>Τροπις</t>
  </si>
  <si>
    <t>β PsA</t>
  </si>
  <si>
    <t>β Νοτίου ιχθύ</t>
  </si>
  <si>
    <t xml:space="preserve">β Piscis Austrinus. </t>
  </si>
  <si>
    <t>γ PsA</t>
  </si>
  <si>
    <t>γ Νοτίου ιχθύ</t>
  </si>
  <si>
    <t>γ Piscis Austrinus</t>
  </si>
  <si>
    <t>Υδρα</t>
  </si>
  <si>
    <t>δ PsA</t>
  </si>
  <si>
    <t>δ Νοτίου ιχθύ</t>
  </si>
  <si>
    <t>δ Piscis Austrinus</t>
  </si>
  <si>
    <t>ε PsA</t>
  </si>
  <si>
    <t>ε Νοτίου ιχθύ</t>
  </si>
  <si>
    <t>ε Piscis Austrinus</t>
  </si>
  <si>
    <t>Υδροχοος</t>
  </si>
  <si>
    <t>α Cam</t>
  </si>
  <si>
    <t>α Καμηλοπάρδαλης</t>
  </si>
  <si>
    <t>α Camelopardalis</t>
  </si>
  <si>
    <t>φοινηξ</t>
  </si>
  <si>
    <t>β Cam</t>
  </si>
  <si>
    <t>β Καμηλοπάρδαλης</t>
  </si>
  <si>
    <t>β Camelopardalis</t>
  </si>
  <si>
    <t>φοίνηξ</t>
  </si>
  <si>
    <t>γ Cam</t>
  </si>
  <si>
    <t>γ Καμηλοπάρδαλης</t>
  </si>
  <si>
    <t>γ Camelopardalis</t>
  </si>
  <si>
    <t>φοινιξ</t>
  </si>
  <si>
    <t>Καμίνου</t>
  </si>
  <si>
    <t>φοίνιξ</t>
  </si>
  <si>
    <t>Καρκίνου</t>
  </si>
  <si>
    <t>Ωριων</t>
  </si>
  <si>
    <t>α Cnc</t>
  </si>
  <si>
    <t>α Καρκίνου</t>
  </si>
  <si>
    <t>α Cancer</t>
  </si>
  <si>
    <t>β Cnc</t>
  </si>
  <si>
    <t>β Καρκίνου</t>
  </si>
  <si>
    <t>β Cancer</t>
  </si>
  <si>
    <t>Ωριωνας</t>
  </si>
  <si>
    <t>γ Cnc</t>
  </si>
  <si>
    <t>γ Καρκίνου</t>
  </si>
  <si>
    <t>γ Cancer</t>
  </si>
  <si>
    <t>Ωρίωνας</t>
  </si>
  <si>
    <t>δ Cnc</t>
  </si>
  <si>
    <t>δ Καρκίνου. Διπλός</t>
  </si>
  <si>
    <t>δ Cancer. Διπλός</t>
  </si>
  <si>
    <t>ΩΩ</t>
  </si>
  <si>
    <t>ζ Cnc</t>
  </si>
  <si>
    <t>ζ Καρκίνου. Διπλός</t>
  </si>
  <si>
    <t>ζ Cancer. Διπλός</t>
  </si>
  <si>
    <t>ΩΩΩ</t>
  </si>
  <si>
    <t xml:space="preserve">ΩΩΩ </t>
  </si>
  <si>
    <t>ι Cnc</t>
  </si>
  <si>
    <t>ι Καρκίνου</t>
  </si>
  <si>
    <t>ι Cancer</t>
  </si>
  <si>
    <t>Κασσιόπης</t>
  </si>
  <si>
    <t>α Cas</t>
  </si>
  <si>
    <t>α Κασσιόπης</t>
  </si>
  <si>
    <t>α Cassiopeia</t>
  </si>
  <si>
    <t>β Cas</t>
  </si>
  <si>
    <t>β Κασσιόπης</t>
  </si>
  <si>
    <t>β Cassiopeia</t>
  </si>
  <si>
    <t>γ Cas</t>
  </si>
  <si>
    <t>γ Κασσιόπης</t>
  </si>
  <si>
    <t>γ Cassiopeia</t>
  </si>
  <si>
    <t>δ Cas</t>
  </si>
  <si>
    <t>δ Κασσιόπης</t>
  </si>
  <si>
    <t>δ Cassiopeia</t>
  </si>
  <si>
    <t>ε Cas</t>
  </si>
  <si>
    <t>ε Κασσιόπης</t>
  </si>
  <si>
    <t>ε Cassiopeia</t>
  </si>
  <si>
    <t>η Cas</t>
  </si>
  <si>
    <t>η Κασσιόπης. Διπλός</t>
  </si>
  <si>
    <t>η Cassiopeia. Διπλός</t>
  </si>
  <si>
    <t>ι Cas</t>
  </si>
  <si>
    <t>ι Κασσιόπης. Πολλαπλός</t>
  </si>
  <si>
    <t>ι Cassiopeia. Πολλαπλός</t>
  </si>
  <si>
    <t>κ Cas</t>
  </si>
  <si>
    <t>κ Κασσιόπης</t>
  </si>
  <si>
    <t>κ Cassiopeia</t>
  </si>
  <si>
    <t>ο Cas</t>
  </si>
  <si>
    <t>ο Κασσιόπης</t>
  </si>
  <si>
    <t>ο Cassiopeia</t>
  </si>
  <si>
    <t>Κενταύρου</t>
  </si>
  <si>
    <t>θ Cen</t>
  </si>
  <si>
    <t>θ Κενταύρου</t>
  </si>
  <si>
    <t>θ Centaurus</t>
  </si>
  <si>
    <t>ι Cen</t>
  </si>
  <si>
    <t>ι Κενταύρου</t>
  </si>
  <si>
    <t>ι Centaurus</t>
  </si>
  <si>
    <t>Κήτους</t>
  </si>
  <si>
    <t>α Cet</t>
  </si>
  <si>
    <t>α Κήτους</t>
  </si>
  <si>
    <t>α Cetus</t>
  </si>
  <si>
    <t>β Cet</t>
  </si>
  <si>
    <t xml:space="preserve">β Κήτους </t>
  </si>
  <si>
    <t>β Cetus Diphda</t>
  </si>
  <si>
    <t>γ Cet</t>
  </si>
  <si>
    <t>γ Κήτους. Διπλός</t>
  </si>
  <si>
    <t>γ Cetus. Διπλός</t>
  </si>
  <si>
    <t>δ Cet</t>
  </si>
  <si>
    <t>δ Κήτους</t>
  </si>
  <si>
    <t>δ Cetus</t>
  </si>
  <si>
    <t>ζ Cet</t>
  </si>
  <si>
    <t>ζ Κήτους</t>
  </si>
  <si>
    <t>ζ Cetus</t>
  </si>
  <si>
    <t>η Cet</t>
  </si>
  <si>
    <t>η Κήτους</t>
  </si>
  <si>
    <t>η Cetus</t>
  </si>
  <si>
    <t>θ Cet</t>
  </si>
  <si>
    <t>θ Κήτους</t>
  </si>
  <si>
    <t>θ Cetus</t>
  </si>
  <si>
    <t>ι Cet</t>
  </si>
  <si>
    <t>ι Κήτους</t>
  </si>
  <si>
    <t>ι Cetus</t>
  </si>
  <si>
    <t>ο Cet</t>
  </si>
  <si>
    <t>ο Κήτους. Ο Θαυμάσιος!</t>
  </si>
  <si>
    <t>ο Cetus Mira</t>
  </si>
  <si>
    <t>π Cet</t>
  </si>
  <si>
    <t>π Κήτους</t>
  </si>
  <si>
    <t>π Cetus</t>
  </si>
  <si>
    <t>τ Cet</t>
  </si>
  <si>
    <t>τ Κήτους Γείτονας</t>
  </si>
  <si>
    <t>τ Cetus 12 Έτη φωτός</t>
  </si>
  <si>
    <t>υ Cet</t>
  </si>
  <si>
    <t>υ Κήτους</t>
  </si>
  <si>
    <t>υ Cetus</t>
  </si>
  <si>
    <t>Κηφέως</t>
  </si>
  <si>
    <t>α Cep</t>
  </si>
  <si>
    <t>α Κηφέως</t>
  </si>
  <si>
    <t>α Cepheus</t>
  </si>
  <si>
    <t>β Cep</t>
  </si>
  <si>
    <t>β Κηφέως</t>
  </si>
  <si>
    <t>β Cepheus</t>
  </si>
  <si>
    <t>γ Cep</t>
  </si>
  <si>
    <t>γ Κηφέως</t>
  </si>
  <si>
    <t>γ Cepheus</t>
  </si>
  <si>
    <t>δ Cep</t>
  </si>
  <si>
    <t xml:space="preserve">δ Κηφέως.Κλασικός Κηφείδας </t>
  </si>
  <si>
    <t>δ Cepheus.Διπλός</t>
  </si>
  <si>
    <t>ε Cep</t>
  </si>
  <si>
    <t>ε Κηφέως</t>
  </si>
  <si>
    <t>ε Cepheus</t>
  </si>
  <si>
    <t>ζ Cep</t>
  </si>
  <si>
    <t>ζ Κηφέως</t>
  </si>
  <si>
    <t>ζ Cepheus</t>
  </si>
  <si>
    <t>η Cep</t>
  </si>
  <si>
    <t>η Κηφέως</t>
  </si>
  <si>
    <t>η Cepheus</t>
  </si>
  <si>
    <t>θ Cep</t>
  </si>
  <si>
    <t>θ Κηφέως</t>
  </si>
  <si>
    <t>θ Cepheus</t>
  </si>
  <si>
    <t>ι Cep</t>
  </si>
  <si>
    <t>ι Κηφέως</t>
  </si>
  <si>
    <t>ι Cepheus</t>
  </si>
  <si>
    <t>μ Cep</t>
  </si>
  <si>
    <t>μ Κηφέως</t>
  </si>
  <si>
    <t>μ Cepheus</t>
  </si>
  <si>
    <t>ξ Cep</t>
  </si>
  <si>
    <t>ξ Κηφέως. Διπλός</t>
  </si>
  <si>
    <t>ξ Cepheus. Διπλός</t>
  </si>
  <si>
    <t>Μεγάλου Κύνα</t>
  </si>
  <si>
    <t>α Cma</t>
  </si>
  <si>
    <t>α Μεγάλου Κύνα. Διπλός</t>
  </si>
  <si>
    <t>Σείριος</t>
  </si>
  <si>
    <t>β Cma</t>
  </si>
  <si>
    <t>β Μεγάλου Κύνα</t>
  </si>
  <si>
    <t>β Canis Major</t>
  </si>
  <si>
    <t>δ Cma</t>
  </si>
  <si>
    <t>δ Μεγάλου Κύνα</t>
  </si>
  <si>
    <t>δ Canis Major</t>
  </si>
  <si>
    <t>ε Cma</t>
  </si>
  <si>
    <t>ε Μεγάλου Κύνα</t>
  </si>
  <si>
    <t>ε Canis Major</t>
  </si>
  <si>
    <t>ζ Cma</t>
  </si>
  <si>
    <t>ζ Μεγάλου Κύνα</t>
  </si>
  <si>
    <t>ζ Canis Major</t>
  </si>
  <si>
    <t>η Cma</t>
  </si>
  <si>
    <t>η Μεγάλου Κύνα</t>
  </si>
  <si>
    <t>η Canis Major</t>
  </si>
  <si>
    <t>ν1 Cma</t>
  </si>
  <si>
    <t>Μικρού Κύνα</t>
  </si>
  <si>
    <t>α Cmi</t>
  </si>
  <si>
    <t>α Μικρού Κυνα. Προκύων</t>
  </si>
  <si>
    <t>α Canis Minor. Προκύων</t>
  </si>
  <si>
    <t>β Cmi</t>
  </si>
  <si>
    <t>β Μικρού Κυνα</t>
  </si>
  <si>
    <t>β Canis Minor</t>
  </si>
  <si>
    <t>γ Cmi</t>
  </si>
  <si>
    <t>γ Μικρού Κυνα</t>
  </si>
  <si>
    <t>γ Canis Minor</t>
  </si>
  <si>
    <t>Κόμης Βερενίκης</t>
  </si>
  <si>
    <t>α Com</t>
  </si>
  <si>
    <t>α Κόμης Βερενίκης. Διπλός</t>
  </si>
  <si>
    <t>α Coma Berenices. Διπλός</t>
  </si>
  <si>
    <t>β Com</t>
  </si>
  <si>
    <t>β Κόμης Βερενίκης</t>
  </si>
  <si>
    <t>β Coma Berenices</t>
  </si>
  <si>
    <t>γ Com</t>
  </si>
  <si>
    <t>γ Κόμης Βερενίκης</t>
  </si>
  <si>
    <t>γ Coma Berenices</t>
  </si>
  <si>
    <t>Κόρακα</t>
  </si>
  <si>
    <t>α Crv</t>
  </si>
  <si>
    <t>α Κόρακα</t>
  </si>
  <si>
    <t>α Corvus</t>
  </si>
  <si>
    <t>β Crv</t>
  </si>
  <si>
    <t>β Κόρακα</t>
  </si>
  <si>
    <t>β Corvus</t>
  </si>
  <si>
    <t>γ Crv</t>
  </si>
  <si>
    <t>γ Κόρακα</t>
  </si>
  <si>
    <t>γ Corvus</t>
  </si>
  <si>
    <t>δ Crv</t>
  </si>
  <si>
    <t>δ Κόρακα</t>
  </si>
  <si>
    <t>δ Corvus</t>
  </si>
  <si>
    <t>ε Crv</t>
  </si>
  <si>
    <t>εΚόρακα</t>
  </si>
  <si>
    <t>ε Corvus</t>
  </si>
  <si>
    <t>Κρατήρος</t>
  </si>
  <si>
    <t>α Crt</t>
  </si>
  <si>
    <t>α Κρατήρος</t>
  </si>
  <si>
    <t>α Crater</t>
  </si>
  <si>
    <t>β Crt</t>
  </si>
  <si>
    <t>β Κρατήρος</t>
  </si>
  <si>
    <t>β Crater</t>
  </si>
  <si>
    <t>γ Crt</t>
  </si>
  <si>
    <t>γ Κρατήρος</t>
  </si>
  <si>
    <t>γ Crater</t>
  </si>
  <si>
    <t>δ Crt</t>
  </si>
  <si>
    <t>δ Κρατήρος</t>
  </si>
  <si>
    <t>δ Crater</t>
  </si>
  <si>
    <t>ε Crt</t>
  </si>
  <si>
    <t>ε Κρατήρος</t>
  </si>
  <si>
    <t>ε Crater</t>
  </si>
  <si>
    <t>ζ Crt</t>
  </si>
  <si>
    <t>ζ Κρατήρος</t>
  </si>
  <si>
    <t>ζ Crater</t>
  </si>
  <si>
    <t>η Crt</t>
  </si>
  <si>
    <t>η Κρατήρος</t>
  </si>
  <si>
    <t>η Crater</t>
  </si>
  <si>
    <t>θ Crt</t>
  </si>
  <si>
    <t>θ Κρατήρος</t>
  </si>
  <si>
    <t>θ Crater</t>
  </si>
  <si>
    <t>Κριού</t>
  </si>
  <si>
    <t>41 Ari</t>
  </si>
  <si>
    <t>41 Κριού</t>
  </si>
  <si>
    <t>41 Aries</t>
  </si>
  <si>
    <t>α Ari</t>
  </si>
  <si>
    <t>α Κριού</t>
  </si>
  <si>
    <t>α Aries</t>
  </si>
  <si>
    <t>β Ari</t>
  </si>
  <si>
    <t>β Κριού</t>
  </si>
  <si>
    <t>β Aries</t>
  </si>
  <si>
    <t>γ Ari</t>
  </si>
  <si>
    <t>γ Κριού Διπλός</t>
  </si>
  <si>
    <t>γ Aries Διπλός</t>
  </si>
  <si>
    <t>Θηρευτικοί κύνες</t>
  </si>
  <si>
    <t>α CVn</t>
  </si>
  <si>
    <t>Καρδιά Καρόλου. Διπλός</t>
  </si>
  <si>
    <t>Cor Caroli</t>
  </si>
  <si>
    <t>β CVn</t>
  </si>
  <si>
    <t>β Θηρευτικοί κύνες</t>
  </si>
  <si>
    <t>β Canes Venatici</t>
  </si>
  <si>
    <t>Κύκνου</t>
  </si>
  <si>
    <t>52 Cyg</t>
  </si>
  <si>
    <t>52 Κύκνου</t>
  </si>
  <si>
    <t>52 Cygnus</t>
  </si>
  <si>
    <t>61 Cyg</t>
  </si>
  <si>
    <t>61 Κύκνου. Διπλός</t>
  </si>
  <si>
    <t>61 Cygnus. Διπλός</t>
  </si>
  <si>
    <t>α Cyg</t>
  </si>
  <si>
    <t>Deneb</t>
  </si>
  <si>
    <t>α Cygnus</t>
  </si>
  <si>
    <t>β Cyg</t>
  </si>
  <si>
    <t>Albireo. Διπλός</t>
  </si>
  <si>
    <t>β Cygnus. Διπλός</t>
  </si>
  <si>
    <t>γ Cyg</t>
  </si>
  <si>
    <t xml:space="preserve">γ Κύκνου </t>
  </si>
  <si>
    <t xml:space="preserve">γ Cygnus </t>
  </si>
  <si>
    <t>δ Cyg</t>
  </si>
  <si>
    <t>δ Κύκνου</t>
  </si>
  <si>
    <t>δ Cygnus</t>
  </si>
  <si>
    <t>ε Cyg</t>
  </si>
  <si>
    <t>ε Κύκνου. Διπλός</t>
  </si>
  <si>
    <t>ε Cygnus. Διπλός</t>
  </si>
  <si>
    <t>ζ Cyg</t>
  </si>
  <si>
    <t>ζ Κύκνου</t>
  </si>
  <si>
    <t>ζ Cygnus</t>
  </si>
  <si>
    <t>η Cyg</t>
  </si>
  <si>
    <t>η Κύκνου</t>
  </si>
  <si>
    <t>η Cygnus</t>
  </si>
  <si>
    <t>θ cyg</t>
  </si>
  <si>
    <t>θ Κύκνου</t>
  </si>
  <si>
    <t>θ Cygnus</t>
  </si>
  <si>
    <t>ι Cyg</t>
  </si>
  <si>
    <t>ι Κύκνου</t>
  </si>
  <si>
    <t>ι Cygnus</t>
  </si>
  <si>
    <t>κ Cyg</t>
  </si>
  <si>
    <t>κ Κύκνου</t>
  </si>
  <si>
    <t>κ Cygnus</t>
  </si>
  <si>
    <t>ν Cyg</t>
  </si>
  <si>
    <t>ν Κύκνου. Διπλός</t>
  </si>
  <si>
    <t>ν Cygnus. Διπλός</t>
  </si>
  <si>
    <t>ξ Cyg</t>
  </si>
  <si>
    <t>ξ Κύκνου</t>
  </si>
  <si>
    <t>ξ Cygnus</t>
  </si>
  <si>
    <t>ο1 Cyg</t>
  </si>
  <si>
    <t>ο2 Cyg</t>
  </si>
  <si>
    <t>σ Cyg</t>
  </si>
  <si>
    <t>σ Κύκνου</t>
  </si>
  <si>
    <t>σ Cygnus</t>
  </si>
  <si>
    <t>τ Cyg</t>
  </si>
  <si>
    <t>τ Κύκνου</t>
  </si>
  <si>
    <t>τ Cygnus</t>
  </si>
  <si>
    <t>φ cyg</t>
  </si>
  <si>
    <t>φ Κύκνου</t>
  </si>
  <si>
    <t>φ Cygnus</t>
  </si>
  <si>
    <t>Λαγού</t>
  </si>
  <si>
    <t>α Lep</t>
  </si>
  <si>
    <t>α Λαγού</t>
  </si>
  <si>
    <t>α Lepus</t>
  </si>
  <si>
    <t>β Lep</t>
  </si>
  <si>
    <t>β Λαγού. Διπλός</t>
  </si>
  <si>
    <t>β Lepus. Διπλός</t>
  </si>
  <si>
    <t>γ Lep</t>
  </si>
  <si>
    <t>γ Λαγού. Οπτικά Διπλός</t>
  </si>
  <si>
    <t>γ Lepus. Οπτικά Διπλός</t>
  </si>
  <si>
    <t>δ Lep</t>
  </si>
  <si>
    <t>δ Λαγού</t>
  </si>
  <si>
    <t>δ Lepus</t>
  </si>
  <si>
    <t>ε Lep</t>
  </si>
  <si>
    <t>ε Λαγού</t>
  </si>
  <si>
    <t>ε Lepus</t>
  </si>
  <si>
    <t>ζ Lep</t>
  </si>
  <si>
    <t>ζ Λαγού</t>
  </si>
  <si>
    <t>ζ Lepus</t>
  </si>
  <si>
    <t>η Lep</t>
  </si>
  <si>
    <t>η Λαγού</t>
  </si>
  <si>
    <t>η Lepus</t>
  </si>
  <si>
    <t>μ Lep</t>
  </si>
  <si>
    <t>μ Λαγού</t>
  </si>
  <si>
    <t>μ Lepus</t>
  </si>
  <si>
    <t>Λέοντος</t>
  </si>
  <si>
    <t>α Leo</t>
  </si>
  <si>
    <t xml:space="preserve">α Λέοντος Βασιλίσκος. Διπλός </t>
  </si>
  <si>
    <t xml:space="preserve">α Leo. Διπλός Regulus </t>
  </si>
  <si>
    <t>β Leo</t>
  </si>
  <si>
    <t>β Λέοντος</t>
  </si>
  <si>
    <t>γ Leo</t>
  </si>
  <si>
    <t>γ Λέοντος. Διπλός</t>
  </si>
  <si>
    <t>γ Leo. Διπλός</t>
  </si>
  <si>
    <t>δ Leo</t>
  </si>
  <si>
    <t>δ Λέοντος</t>
  </si>
  <si>
    <t>ε Leo</t>
  </si>
  <si>
    <t>ε Λέοντος</t>
  </si>
  <si>
    <t>ζ Leo</t>
  </si>
  <si>
    <t>ζ Λέοντος</t>
  </si>
  <si>
    <t>η Leo</t>
  </si>
  <si>
    <t>η Λέοντος</t>
  </si>
  <si>
    <t>θ Leo</t>
  </si>
  <si>
    <t>θ Λέοντος</t>
  </si>
  <si>
    <t>ι Leo</t>
  </si>
  <si>
    <t>ι Λέοντος</t>
  </si>
  <si>
    <t>κ leo</t>
  </si>
  <si>
    <t>κ Λέοντος</t>
  </si>
  <si>
    <t>κ Leo</t>
  </si>
  <si>
    <t>λ Leo</t>
  </si>
  <si>
    <t>λ Λέοντος</t>
  </si>
  <si>
    <t>μ Leo</t>
  </si>
  <si>
    <t>μ Λέοντος</t>
  </si>
  <si>
    <t>ν Leo</t>
  </si>
  <si>
    <t>ν Λέοντος</t>
  </si>
  <si>
    <t>ρ Leo</t>
  </si>
  <si>
    <t>ρ Λέοντος</t>
  </si>
  <si>
    <t>σ Leo</t>
  </si>
  <si>
    <t>σ Λέοντος</t>
  </si>
  <si>
    <t>φ leo</t>
  </si>
  <si>
    <t>φ Λέοντος</t>
  </si>
  <si>
    <t>φ Leo</t>
  </si>
  <si>
    <t>Μικρού Λέοντα</t>
  </si>
  <si>
    <t>10 Lmi</t>
  </si>
  <si>
    <t>10 Μικρού Λέοντα</t>
  </si>
  <si>
    <t>10 Leo Minor</t>
  </si>
  <si>
    <t>21 Lmi</t>
  </si>
  <si>
    <t>21 Μικρού Λέοντα</t>
  </si>
  <si>
    <t>21 Leo Minor</t>
  </si>
  <si>
    <t>41 lmi</t>
  </si>
  <si>
    <t>41 Μικρού Λέοντα</t>
  </si>
  <si>
    <t>41 Leo Minor</t>
  </si>
  <si>
    <t>46 Lmi</t>
  </si>
  <si>
    <t>46 Μικρού Λέοντα</t>
  </si>
  <si>
    <t>46 Leo Minor</t>
  </si>
  <si>
    <t>β Lmi</t>
  </si>
  <si>
    <t>β Μικρού Λέοντα</t>
  </si>
  <si>
    <t>β Leo Minor</t>
  </si>
  <si>
    <t>Λύγκα</t>
  </si>
  <si>
    <t>α lyn</t>
  </si>
  <si>
    <t xml:space="preserve">α Λύγκα </t>
  </si>
  <si>
    <t>α Lynx</t>
  </si>
  <si>
    <t>Λύκου</t>
  </si>
  <si>
    <t>Λύρας</t>
  </si>
  <si>
    <t>α Lyr</t>
  </si>
  <si>
    <t>α Λύρας. Βέγας</t>
  </si>
  <si>
    <t>α Lyra.Vega</t>
  </si>
  <si>
    <t>β Lyr</t>
  </si>
  <si>
    <t>β Λύρας</t>
  </si>
  <si>
    <t>β Lyra</t>
  </si>
  <si>
    <t>γ Lyr</t>
  </si>
  <si>
    <t>γ Λύρας</t>
  </si>
  <si>
    <t>γ Lyra</t>
  </si>
  <si>
    <t>δ Lyr</t>
  </si>
  <si>
    <t>δ Λύρας. Διπλός</t>
  </si>
  <si>
    <t>δ Lyra. Διπλός</t>
  </si>
  <si>
    <t>ε Lyr</t>
  </si>
  <si>
    <t>ε Λύρας. Διπλά διπλός</t>
  </si>
  <si>
    <t>ε Lyra. Διπλά διπλός</t>
  </si>
  <si>
    <t>ζ Lyr</t>
  </si>
  <si>
    <t>ζ Λύρας. Διπλός</t>
  </si>
  <si>
    <t>ζ Lyra. Διπλός</t>
  </si>
  <si>
    <t>η Lyr</t>
  </si>
  <si>
    <t>η Λύρας</t>
  </si>
  <si>
    <t>η Lyra</t>
  </si>
  <si>
    <t>θ Lyr</t>
  </si>
  <si>
    <t>θ Λύρας</t>
  </si>
  <si>
    <t>θ Lyra</t>
  </si>
  <si>
    <t>Messier</t>
  </si>
  <si>
    <t>μ 1</t>
  </si>
  <si>
    <t>M1 Πλανητικό Νεφέλωμα Καρκίνος</t>
  </si>
  <si>
    <t>Μ1 Crab Nebula 6.000 Ly</t>
  </si>
  <si>
    <t>μ 2</t>
  </si>
  <si>
    <t>M2. Σφαιρωτό σμήνος</t>
  </si>
  <si>
    <t>M 2. 35.000 Ly</t>
  </si>
  <si>
    <t>μ 3</t>
  </si>
  <si>
    <t>M3. Σφαιρωτό σμήνος</t>
  </si>
  <si>
    <t>M 3.  34.000 LY</t>
  </si>
  <si>
    <t>μ 4</t>
  </si>
  <si>
    <t xml:space="preserve">M4. Σφαιρωτό σμήνος </t>
  </si>
  <si>
    <t>Μ4. 7.200 LY</t>
  </si>
  <si>
    <t>μ 5</t>
  </si>
  <si>
    <t xml:space="preserve">Μ5. Σφαιρωτό Σμήνος     </t>
  </si>
  <si>
    <t>M5. 24.500 Ly</t>
  </si>
  <si>
    <t>μ 6</t>
  </si>
  <si>
    <t>M6. Ανοιχτό Σμήνος</t>
  </si>
  <si>
    <t>Σμήνος πεταλούδα 1.600 LY</t>
  </si>
  <si>
    <t>μ 7</t>
  </si>
  <si>
    <t>M7. Ανοιχτό Σμήνος</t>
  </si>
  <si>
    <t>To  σμήνος του Πτολεμαίου 800 LY</t>
  </si>
  <si>
    <t>μ 8</t>
  </si>
  <si>
    <t>M8 Νεφέλωμα Λιμνοθάλασσα</t>
  </si>
  <si>
    <t>Μ8 Lagoon 5.200 Ly</t>
  </si>
  <si>
    <t>μ 9</t>
  </si>
  <si>
    <t>M9.Σφαιρωτό σμήνος</t>
  </si>
  <si>
    <t xml:space="preserve">M9 2.600 Ly </t>
  </si>
  <si>
    <t>μ 10</t>
  </si>
  <si>
    <t>M10.Σφαιρωτό σμήνος</t>
  </si>
  <si>
    <t xml:space="preserve">M 10.  14.000 Ly </t>
  </si>
  <si>
    <t>μ 11</t>
  </si>
  <si>
    <t>M11. Ανοιχτό Σμήνος</t>
  </si>
  <si>
    <t>M11. Σμήνος της αγριόπαπιας. 6200 Ly</t>
  </si>
  <si>
    <t>μ 12</t>
  </si>
  <si>
    <t>M12 .Σφαιρωτό Σμήνος</t>
  </si>
  <si>
    <t>M12 15.700 Ly</t>
  </si>
  <si>
    <t>μ 13</t>
  </si>
  <si>
    <t>M13.Σφαιρωτό Σμήνος</t>
  </si>
  <si>
    <t>M13  25.100 LY</t>
  </si>
  <si>
    <t>μ 14</t>
  </si>
  <si>
    <t>M14.Σφαιρωτό Σμήνος</t>
  </si>
  <si>
    <t>M14 30.300 Ly</t>
  </si>
  <si>
    <t>μ 15</t>
  </si>
  <si>
    <t xml:space="preserve">Μ15.Σφαιρωτό Σμήνος </t>
  </si>
  <si>
    <t>Μ15 33.600 Ly</t>
  </si>
  <si>
    <t>μ 16</t>
  </si>
  <si>
    <t>M16 Νεφέλωμα Αετός</t>
  </si>
  <si>
    <t>M16 7.000 Ly</t>
  </si>
  <si>
    <t>μ 17</t>
  </si>
  <si>
    <t>M17 Νεφέλωμα Κύκνος ή Ωμέγα</t>
  </si>
  <si>
    <t>M17 5.500</t>
  </si>
  <si>
    <t>μ 18</t>
  </si>
  <si>
    <t>Μ18. Ανοιχτό Σμήνος</t>
  </si>
  <si>
    <t>M18 4.900 Ly</t>
  </si>
  <si>
    <t>μ 19</t>
  </si>
  <si>
    <t>M19.Σφαιρωτό Σμήνος</t>
  </si>
  <si>
    <t>M19 28.000</t>
  </si>
  <si>
    <t>μ 20</t>
  </si>
  <si>
    <t>M20 Τρισχιδές ή Τριφυλλιού</t>
  </si>
  <si>
    <t>M20 6000 Ly</t>
  </si>
  <si>
    <t>μ 21</t>
  </si>
  <si>
    <t>M21. Ανοιχτό Σμήνος</t>
  </si>
  <si>
    <t>M21 4.250 Ly</t>
  </si>
  <si>
    <t>μ 22</t>
  </si>
  <si>
    <t>M22.Σφαιρωτό Σμήνος</t>
  </si>
  <si>
    <t>M22 10.600 Ly</t>
  </si>
  <si>
    <t>μ 23</t>
  </si>
  <si>
    <t>Μ23. Ανοιχτό Σμήνος.Σφαιρωτό Σμήνος</t>
  </si>
  <si>
    <t>M23 2.150</t>
  </si>
  <si>
    <t>μ 24</t>
  </si>
  <si>
    <t>Μ24. Αστρικό Νέφος!!!</t>
  </si>
  <si>
    <t>Πολλά αντικείμενα! 10.000 Ly</t>
  </si>
  <si>
    <t>μ 25</t>
  </si>
  <si>
    <t>Μ25. Ανοιχτό Σμήνος</t>
  </si>
  <si>
    <t>M25 2.000 Ly</t>
  </si>
  <si>
    <t>μ 26</t>
  </si>
  <si>
    <t>M26. Ανοιχτό Σμήνος</t>
  </si>
  <si>
    <t>M26 5.000 Ly</t>
  </si>
  <si>
    <t>μ 27</t>
  </si>
  <si>
    <t>Μ27 Πλανητικό Νεφέλωμα Αλτήρας</t>
  </si>
  <si>
    <t>Μ27 The Dumbbell Nebula  5.000 Ly</t>
  </si>
  <si>
    <t>μ 28</t>
  </si>
  <si>
    <t>M28. Σφαιρωτό Σμήνος</t>
  </si>
  <si>
    <t>M28 17.900 Ly</t>
  </si>
  <si>
    <t>μ 29</t>
  </si>
  <si>
    <t>Μ29. Ανοιχτό Σμήνος</t>
  </si>
  <si>
    <t>Μ29 4.000-7.000 Ly</t>
  </si>
  <si>
    <t>μ 30</t>
  </si>
  <si>
    <t>M30. Σφαιρωτό Σμήνος</t>
  </si>
  <si>
    <t xml:space="preserve">M30 </t>
  </si>
  <si>
    <t>μ 31</t>
  </si>
  <si>
    <t xml:space="preserve">Μ31-3,5 O Γαλαξίας της Ανδρομέδας </t>
  </si>
  <si>
    <t>2,4 Mly Γαλαξίας της Ανδρομέδας</t>
  </si>
  <si>
    <t>μ 33</t>
  </si>
  <si>
    <t>Μ 33-5,5 Γαλαξίας</t>
  </si>
  <si>
    <t>3 Mly Γαλαξίας του Τριγώνου</t>
  </si>
  <si>
    <t>μ 35</t>
  </si>
  <si>
    <t>Μ35. Ανοιχτό Σμήνος</t>
  </si>
  <si>
    <t>Μ35 2.800 Ly</t>
  </si>
  <si>
    <t>μ 36</t>
  </si>
  <si>
    <t>Μ36. Ανοιχτό Σμήνος</t>
  </si>
  <si>
    <t>M36 4.100 Ly</t>
  </si>
  <si>
    <t>μ 37</t>
  </si>
  <si>
    <t>Μ37. Ανοιχτό Σμήνος</t>
  </si>
  <si>
    <t xml:space="preserve">M37 4.500 Ly </t>
  </si>
  <si>
    <t>μ 38</t>
  </si>
  <si>
    <t>Μ38. Ανοιχτό Σμήνος</t>
  </si>
  <si>
    <t>M38 4.200 Ly</t>
  </si>
  <si>
    <t>μ 39</t>
  </si>
  <si>
    <t>Μ39. Ανοιχτό Σμήνος</t>
  </si>
  <si>
    <t>M39 800 Ly</t>
  </si>
  <si>
    <t>μ 41</t>
  </si>
  <si>
    <t>Μ41. Ανοιχτό Σμήνος</t>
  </si>
  <si>
    <t>M41 2.300 Ly</t>
  </si>
  <si>
    <t>μ 42</t>
  </si>
  <si>
    <t xml:space="preserve">Μ42 Μέγα Νεφέλωμα του Ωρίωνα </t>
  </si>
  <si>
    <t>M42 1.340 Ly</t>
  </si>
  <si>
    <t>μ 44</t>
  </si>
  <si>
    <t xml:space="preserve">Μ44. Ανοιχτό Σμήνος. Φάτνη ή Κυψέλη </t>
  </si>
  <si>
    <t>M44 550 Ly</t>
  </si>
  <si>
    <t>μ 46</t>
  </si>
  <si>
    <t>Μ46. Ανοιχτό Σμήνος + Πλανητικό νεφέλωμα.</t>
  </si>
  <si>
    <t>M46 5.400 Ly</t>
  </si>
  <si>
    <t>μ 47</t>
  </si>
  <si>
    <t>Μ47. Ανοιχτό Σμήνος</t>
  </si>
  <si>
    <t>M47 1.600 Ly</t>
  </si>
  <si>
    <t>μ 48</t>
  </si>
  <si>
    <t>Μ48. Ανοιχτό Σμήνος</t>
  </si>
  <si>
    <t>M48 1.500 Ly</t>
  </si>
  <si>
    <t>μ 49</t>
  </si>
  <si>
    <t>M49 - 8,3 Γαλαξίας</t>
  </si>
  <si>
    <t>M49 56 Mly</t>
  </si>
  <si>
    <t>μ 50</t>
  </si>
  <si>
    <t>Μ50. Ανοιχτό Σμήνος</t>
  </si>
  <si>
    <t>M50 3.000 Ly</t>
  </si>
  <si>
    <t>μ 51</t>
  </si>
  <si>
    <t>M51 - 8,1 Γαλαξίας της δίνης</t>
  </si>
  <si>
    <t>M51 Whirlpool galaxy 23 Mly</t>
  </si>
  <si>
    <t>μ 52</t>
  </si>
  <si>
    <t>Μ52. Ανοιχτό Σμήνος</t>
  </si>
  <si>
    <t>M52 5000 Ly</t>
  </si>
  <si>
    <t>μ 53</t>
  </si>
  <si>
    <t>M53. Σφαιρωτό σμήνος</t>
  </si>
  <si>
    <t>M53 60.000 Ly</t>
  </si>
  <si>
    <t>μ 54</t>
  </si>
  <si>
    <t>M54. Σφαιρωτό σμήνος</t>
  </si>
  <si>
    <t>M54 87.500 Ly</t>
  </si>
  <si>
    <t>μ 55</t>
  </si>
  <si>
    <t>M55. Σφαιρωτό σμήνος</t>
  </si>
  <si>
    <t>M55 17.600 Ly</t>
  </si>
  <si>
    <t>μ 56</t>
  </si>
  <si>
    <t>Μ56. Σφαιρωτό σμήνος</t>
  </si>
  <si>
    <t>Μ56 32.900 Ly</t>
  </si>
  <si>
    <t>μ 57</t>
  </si>
  <si>
    <t xml:space="preserve">Μ57 Πλανητικό Νεφέλωμα Ευρυδίκη </t>
  </si>
  <si>
    <t>Δακτυλιοειδές. 2.300 LY</t>
  </si>
  <si>
    <t>μ 58</t>
  </si>
  <si>
    <t>M58- 9,6 Γαλαξίας</t>
  </si>
  <si>
    <t>M58 68 Mly</t>
  </si>
  <si>
    <t>μ 59</t>
  </si>
  <si>
    <t>M59- 9,7 Γαλαξίας</t>
  </si>
  <si>
    <t>M59 60 Mly</t>
  </si>
  <si>
    <t>μ 60</t>
  </si>
  <si>
    <t>M60- 8,8 Γαλαξίας</t>
  </si>
  <si>
    <t>M60 60 Mly</t>
  </si>
  <si>
    <t>μ 61</t>
  </si>
  <si>
    <t>M61- 9,3 Γαλαξίας</t>
  </si>
  <si>
    <t>M61 60 Mly</t>
  </si>
  <si>
    <t>μ 62</t>
  </si>
  <si>
    <t>M62. Σφαιρωτό σμήνος</t>
  </si>
  <si>
    <t>M62 22.500 Ly</t>
  </si>
  <si>
    <t>μ 63</t>
  </si>
  <si>
    <t>M63- 8,5 Γαλαξίας</t>
  </si>
  <si>
    <t>M63 27 Mly</t>
  </si>
  <si>
    <t>μ 64</t>
  </si>
  <si>
    <t>M64- 8,5 Γαλαξίας Μαύρο μάτι</t>
  </si>
  <si>
    <t>M64 Black Eye Galaxy 24 Mly</t>
  </si>
  <si>
    <t>μ 65</t>
  </si>
  <si>
    <t>M65- 9,2 Γαλαξίας</t>
  </si>
  <si>
    <t>M65 35 Mly</t>
  </si>
  <si>
    <t>μ 66</t>
  </si>
  <si>
    <t>M66- 8,9 Γαλαξίας</t>
  </si>
  <si>
    <t>M66 36 Mly</t>
  </si>
  <si>
    <t>μ 67</t>
  </si>
  <si>
    <t>Μ67. Ανοιχτό Σμήνος</t>
  </si>
  <si>
    <t>M67 2.610 Ly</t>
  </si>
  <si>
    <t>μ 68</t>
  </si>
  <si>
    <t>M68. Σφαιρωτό σμήνος</t>
  </si>
  <si>
    <t>M68 33.600 Ly</t>
  </si>
  <si>
    <t>μ 69</t>
  </si>
  <si>
    <t>M69. Σφαιρωτό σμήνος</t>
  </si>
  <si>
    <t>M69 29.700 Ly</t>
  </si>
  <si>
    <t>μ 70</t>
  </si>
  <si>
    <t>M70. Σφαιρωτό σμήνος</t>
  </si>
  <si>
    <t>M70 29.300 Ly</t>
  </si>
  <si>
    <t>μ 71</t>
  </si>
  <si>
    <t>Μ71. Σφαιρωτό σμήνος</t>
  </si>
  <si>
    <t>Μ71 13.000 Ly</t>
  </si>
  <si>
    <t>μ 72</t>
  </si>
  <si>
    <t>M72. Σφαιρωτό σμήνος</t>
  </si>
  <si>
    <t>M72 55.000 Ly</t>
  </si>
  <si>
    <t>μ 73</t>
  </si>
  <si>
    <t>M73 σχηματισμός 4 αστέρων</t>
  </si>
  <si>
    <t xml:space="preserve">M73 2.500 Λυ </t>
  </si>
  <si>
    <t>μ 74</t>
  </si>
  <si>
    <t>Μ74-9,1 Γαλαξίας</t>
  </si>
  <si>
    <t>Μ74 32 Mly</t>
  </si>
  <si>
    <t>μ 75</t>
  </si>
  <si>
    <t>M75. Σφαιρωτό σμήνος</t>
  </si>
  <si>
    <t>M75 67.500 Ly</t>
  </si>
  <si>
    <t>μ 76</t>
  </si>
  <si>
    <t xml:space="preserve">M76. Πλανητικό Νεφέλωμα μικρός αλτήρας </t>
  </si>
  <si>
    <t>Μ76  Little Dumbbell Nebula 2.500 Ly</t>
  </si>
  <si>
    <t>μ 77</t>
  </si>
  <si>
    <t>Μ77-8,9 Γαλαξίας</t>
  </si>
  <si>
    <t>M77 47 Mly</t>
  </si>
  <si>
    <t>μ 78</t>
  </si>
  <si>
    <t>Μ78 Νεφέλωμα Ανάκλασης</t>
  </si>
  <si>
    <t>M78 1.500 Ly</t>
  </si>
  <si>
    <t>μ 79</t>
  </si>
  <si>
    <t>Μ79 Σφαιρωτό Σμήνος</t>
  </si>
  <si>
    <t>Σμήνος 42.000 Mly</t>
  </si>
  <si>
    <t>μ 80</t>
  </si>
  <si>
    <t>M80. Σφαιρωτό σμήνος</t>
  </si>
  <si>
    <t>M80 32.600 Ly</t>
  </si>
  <si>
    <t>μ 81</t>
  </si>
  <si>
    <t>M81-7 Γαλαξίας</t>
  </si>
  <si>
    <t>M81 12 Mly</t>
  </si>
  <si>
    <t>μ 82</t>
  </si>
  <si>
    <t>M102-8,6 Γαλαξίας 11 Mly</t>
  </si>
  <si>
    <t>Γιόχαν Μπόντε</t>
  </si>
  <si>
    <t>μ 83</t>
  </si>
  <si>
    <t xml:space="preserve">M83-7,5 Γαλαξίας </t>
  </si>
  <si>
    <t>M83 15 Mly</t>
  </si>
  <si>
    <t>μ 84</t>
  </si>
  <si>
    <t>M84- 9,2 Γαλαξίας</t>
  </si>
  <si>
    <t>M84 60 Mly</t>
  </si>
  <si>
    <t>μ 85</t>
  </si>
  <si>
    <t>Μ85- 9,1 Γαλαξίας</t>
  </si>
  <si>
    <t xml:space="preserve">M84 60 Mly Pierre Mechain </t>
  </si>
  <si>
    <t>μ 86</t>
  </si>
  <si>
    <t>M86- 8,9 Γαλαξίας</t>
  </si>
  <si>
    <t>M86 60 Mly</t>
  </si>
  <si>
    <t>μ 87</t>
  </si>
  <si>
    <t>M87-8,6 Γαλαξίας</t>
  </si>
  <si>
    <t>M87 53,5 Miy</t>
  </si>
  <si>
    <t>μ 88</t>
  </si>
  <si>
    <t>M88- 9,4 Γαλαξίας</t>
  </si>
  <si>
    <t>M88 60 Miy</t>
  </si>
  <si>
    <t>μ 89</t>
  </si>
  <si>
    <t>M89- 9,9 Γαλαξίας</t>
  </si>
  <si>
    <t>M89 50 Miy</t>
  </si>
  <si>
    <t>μ 90</t>
  </si>
  <si>
    <t>M90- 9,4 Γαλαξίας</t>
  </si>
  <si>
    <t>M90 60 Miy</t>
  </si>
  <si>
    <t>μ 91</t>
  </si>
  <si>
    <t>M91- 10 Γαλαξίας</t>
  </si>
  <si>
    <t>M91 55 Miy</t>
  </si>
  <si>
    <t>μ 92</t>
  </si>
  <si>
    <t>M92. Σφαιρωτό σμήνος</t>
  </si>
  <si>
    <t>M92 26.700 Ly</t>
  </si>
  <si>
    <t>μ 93</t>
  </si>
  <si>
    <t>Μ93. Ανοιχτό Σμήνος</t>
  </si>
  <si>
    <t>M93 3.600</t>
  </si>
  <si>
    <t>μ 94</t>
  </si>
  <si>
    <t>M94-8,1 Γαλαξίας</t>
  </si>
  <si>
    <t>M94 16 Mly</t>
  </si>
  <si>
    <t>μ 95</t>
  </si>
  <si>
    <t>M95-9,8 Γαλαξίας</t>
  </si>
  <si>
    <t>M95 38 Mly</t>
  </si>
  <si>
    <t>μ 96</t>
  </si>
  <si>
    <t>M96-9,3 Γαλαξίας</t>
  </si>
  <si>
    <t>M 96 35 Mly</t>
  </si>
  <si>
    <t>μ 97</t>
  </si>
  <si>
    <t>M97 Πλανητικό Νεφέλωμα Κουκουβάγια</t>
  </si>
  <si>
    <t xml:space="preserve">Μ97 Pierre François André Méchain 2.030 Ly </t>
  </si>
  <si>
    <t>μ 98</t>
  </si>
  <si>
    <t>M98-10,1 Γαλαξίας</t>
  </si>
  <si>
    <t>M98 44,4 Mly</t>
  </si>
  <si>
    <t>μ 99</t>
  </si>
  <si>
    <t>M99-10,2 Γαλαξίας</t>
  </si>
  <si>
    <t>M99 Pierre Mechain  55,7 Mly</t>
  </si>
  <si>
    <t>μ 100</t>
  </si>
  <si>
    <t>M100- 9,3 Γαλαξίας</t>
  </si>
  <si>
    <t>M100 52,5 Mly</t>
  </si>
  <si>
    <t>μ 101</t>
  </si>
  <si>
    <t>M101-7,5 Γαλαξίας</t>
  </si>
  <si>
    <t>M101 27 Mly</t>
  </si>
  <si>
    <t>μ 102</t>
  </si>
  <si>
    <t>M102-10,7 Γαλαξίας</t>
  </si>
  <si>
    <t>M102 Pierre Mechain 50 Mly</t>
  </si>
  <si>
    <t>μ 103</t>
  </si>
  <si>
    <t xml:space="preserve">Μ103. Ανοιχτό Σμήνος Κουκουβάγια </t>
  </si>
  <si>
    <t xml:space="preserve"> M103 9.000 Ly</t>
  </si>
  <si>
    <t>μ 104</t>
  </si>
  <si>
    <t>M104- 8,3 Γαλαξίας Σομπρέρο</t>
  </si>
  <si>
    <t>M104 Sombrero Galaxy 31 Mly</t>
  </si>
  <si>
    <t>μ 105</t>
  </si>
  <si>
    <t>M105- 9,5 Γαλαξίας</t>
  </si>
  <si>
    <t>M105 32 Mly</t>
  </si>
  <si>
    <t>μ 106</t>
  </si>
  <si>
    <t>M106- 8,3 Γαλαξία</t>
  </si>
  <si>
    <t>M106 Pierre Mechain 23,5 Mly</t>
  </si>
  <si>
    <t>μ 107</t>
  </si>
  <si>
    <t>M107. Σφαιρωτό σμήνος</t>
  </si>
  <si>
    <t>M107 20.900 Ly</t>
  </si>
  <si>
    <t>μ 108</t>
  </si>
  <si>
    <t>M108- 9,5 Γαλαξίας</t>
  </si>
  <si>
    <t>M108 Pierre Mechain 50 Mly</t>
  </si>
  <si>
    <t>μ 109</t>
  </si>
  <si>
    <t>M109- 9,8 Γαλαξίας</t>
  </si>
  <si>
    <t>M109 Pierre Mechain 83 Mly</t>
  </si>
  <si>
    <t>Μικροσκοπίου</t>
  </si>
  <si>
    <t>α mic</t>
  </si>
  <si>
    <t>α Μικροσκοπίου</t>
  </si>
  <si>
    <t>α Microscopium</t>
  </si>
  <si>
    <t>γ mic</t>
  </si>
  <si>
    <t>γ Μικροσκοπίου</t>
  </si>
  <si>
    <t>γ Microscopium</t>
  </si>
  <si>
    <t>ε mic</t>
  </si>
  <si>
    <t>ε Μικροσκοπίου</t>
  </si>
  <si>
    <t>ε Microscopium</t>
  </si>
  <si>
    <t>Μονόκερου</t>
  </si>
  <si>
    <t>α Mon</t>
  </si>
  <si>
    <t>α Μονόκερου</t>
  </si>
  <si>
    <t>α Monoceros</t>
  </si>
  <si>
    <t>β Mon</t>
  </si>
  <si>
    <t>β Μονόκερου.Τριπλός</t>
  </si>
  <si>
    <t>β Monoceros.Τριπλός</t>
  </si>
  <si>
    <t>γ Mon</t>
  </si>
  <si>
    <t>γ Μονόκερου</t>
  </si>
  <si>
    <t>γ Monoceros</t>
  </si>
  <si>
    <t>δ Mon</t>
  </si>
  <si>
    <t>δ Μονόκερου</t>
  </si>
  <si>
    <t>δ Monoceros</t>
  </si>
  <si>
    <t>ε Mon</t>
  </si>
  <si>
    <t>ε Μονόκερου. Διπλός</t>
  </si>
  <si>
    <t>ε Monoceros. Διπλός</t>
  </si>
  <si>
    <t>ζ Mon</t>
  </si>
  <si>
    <t>ζ Μονόκερου</t>
  </si>
  <si>
    <t>ζ Monoceros</t>
  </si>
  <si>
    <t>NGC</t>
  </si>
  <si>
    <t xml:space="preserve">    NGC</t>
  </si>
  <si>
    <t>ngc 40</t>
  </si>
  <si>
    <t xml:space="preserve">NGC 40. Πλανητικό Νεφέλωμα </t>
  </si>
  <si>
    <t>William Herschel</t>
  </si>
  <si>
    <t>ngc 128</t>
  </si>
  <si>
    <t xml:space="preserve">NGC 128-11,8 Γαλαξίας  </t>
  </si>
  <si>
    <t xml:space="preserve">253 Mly William Herschel </t>
  </si>
  <si>
    <t>ngc 134</t>
  </si>
  <si>
    <t xml:space="preserve">NGC 134-10,5 Γαλαξίας  </t>
  </si>
  <si>
    <t xml:space="preserve">60 Μly James Dunlop </t>
  </si>
  <si>
    <t>ngc 147</t>
  </si>
  <si>
    <t xml:space="preserve">NGC 147-9,4 Γαλαξίας  </t>
  </si>
  <si>
    <t>2,58 Mly John Herschel</t>
  </si>
  <si>
    <t>ngc 157</t>
  </si>
  <si>
    <t>NGC 157-10,4 Γαλαξίας</t>
  </si>
  <si>
    <t>76,3 Mly William Herschel</t>
  </si>
  <si>
    <t>ngc 185</t>
  </si>
  <si>
    <t xml:space="preserve">NGC 185-9,3 Γαλαξίας  </t>
  </si>
  <si>
    <t>2 Mly William Herschel</t>
  </si>
  <si>
    <t>ngc 246</t>
  </si>
  <si>
    <t>NGC 246 . Πλανητικό Νεφέλωμα του κρανίου</t>
  </si>
  <si>
    <t>ngc 247</t>
  </si>
  <si>
    <t>NGC 247-8,9 Γαλαξίας</t>
  </si>
  <si>
    <t xml:space="preserve">11,1 Mly </t>
  </si>
  <si>
    <t>ngc 253</t>
  </si>
  <si>
    <t>NGC 253-7,3 Γαλαξίας</t>
  </si>
  <si>
    <t xml:space="preserve">11,4 Mly Caroline Herschel </t>
  </si>
  <si>
    <t>ngc 278</t>
  </si>
  <si>
    <t>NGC 278-10,7 Γαλαξίας</t>
  </si>
  <si>
    <t xml:space="preserve">38,5 Mly </t>
  </si>
  <si>
    <t>ngc 281</t>
  </si>
  <si>
    <t>NGC 281 σμήνος + Νεφέλωμα</t>
  </si>
  <si>
    <t>Barnard</t>
  </si>
  <si>
    <t>ngc 288</t>
  </si>
  <si>
    <t>NGC 288. Σφαιρωτό σμήνος</t>
  </si>
  <si>
    <t>Johan Ludvig Emil Dreyer</t>
  </si>
  <si>
    <t>ngc 404</t>
  </si>
  <si>
    <t>NGC 404-10 Γαλαξίας</t>
  </si>
  <si>
    <t xml:space="preserve">10 Mly  William Herschel </t>
  </si>
  <si>
    <t>ngc 457</t>
  </si>
  <si>
    <t>NGC 457. Ανοιχτό Σμήνος κουκουβάγια</t>
  </si>
  <si>
    <t>ngc 488</t>
  </si>
  <si>
    <t xml:space="preserve">NGC 488-10,4 Γαλαξίας </t>
  </si>
  <si>
    <t>90 Mly William Herschel</t>
  </si>
  <si>
    <t>ngc 524</t>
  </si>
  <si>
    <t>NGC 524-10,4 Γαλαξίας</t>
  </si>
  <si>
    <t>ngc 584</t>
  </si>
  <si>
    <t>NGC 584-10,5 Γαλαξίας</t>
  </si>
  <si>
    <t>76,4 Mly William Herschel</t>
  </si>
  <si>
    <t>ngc 660</t>
  </si>
  <si>
    <t xml:space="preserve">NGC 660-10,7 Γαλαξίας  </t>
  </si>
  <si>
    <t xml:space="preserve">45 Mly </t>
  </si>
  <si>
    <t>ngc 663</t>
  </si>
  <si>
    <t>NGC 663 Ανοιχτό Σμήνος</t>
  </si>
  <si>
    <t>ngc 720</t>
  </si>
  <si>
    <t>NGC 720-10,2 Γαλαξίας</t>
  </si>
  <si>
    <t>80 Mly William Herschel</t>
  </si>
  <si>
    <t>ngc 752</t>
  </si>
  <si>
    <t>NGC 752 ανοιχτό σμήνος</t>
  </si>
  <si>
    <t>Caroline Herschel</t>
  </si>
  <si>
    <t>ngc 772</t>
  </si>
  <si>
    <t>NGC 772-10,3 Γαλαξίας</t>
  </si>
  <si>
    <t>130 Mly  William Herschel</t>
  </si>
  <si>
    <t>ngc 812</t>
  </si>
  <si>
    <t>NGC 812 -11,6 Γαλαξίας</t>
  </si>
  <si>
    <t>Edouard Jean-Marie Stephan</t>
  </si>
  <si>
    <t>ngc 869</t>
  </si>
  <si>
    <t>NGC 869 Ανοιχτό Σμήνος</t>
  </si>
  <si>
    <t>Double Cluster</t>
  </si>
  <si>
    <t>ngc 884</t>
  </si>
  <si>
    <t>NGC 884 Ανοιχτό Σμήνος</t>
  </si>
  <si>
    <t>ngc 890</t>
  </si>
  <si>
    <t>NGC 890 -11,3 Γαλαξίας</t>
  </si>
  <si>
    <t>121 Mly  William Herschel</t>
  </si>
  <si>
    <t>ngc 891</t>
  </si>
  <si>
    <t>NGC 891 -10,1 Γαλαξίας</t>
  </si>
  <si>
    <t>30 Mly  William Herschel</t>
  </si>
  <si>
    <t>ngc 908</t>
  </si>
  <si>
    <t>NGC 908-10,2 Γαλαξίας</t>
  </si>
  <si>
    <t>60 Mly  William Herschel</t>
  </si>
  <si>
    <t>ngc 925</t>
  </si>
  <si>
    <t>NGC 925-9,9 Γαλαξίας</t>
  </si>
  <si>
    <t xml:space="preserve">30 Mly </t>
  </si>
  <si>
    <t>ngc 936</t>
  </si>
  <si>
    <t>NGC 936-10,2 Γαλαξίας</t>
  </si>
  <si>
    <t>67 Mly  William Herschel</t>
  </si>
  <si>
    <t>ngc 988</t>
  </si>
  <si>
    <t>NGC 988-11 Γαλαξίας</t>
  </si>
  <si>
    <t>56 Mly Edouard Jean-Marie Stephan</t>
  </si>
  <si>
    <t>ngc 1023</t>
  </si>
  <si>
    <t>NGC 1023-9,5 Γαλαξίας</t>
  </si>
  <si>
    <t xml:space="preserve">60 Mly </t>
  </si>
  <si>
    <t>ngc 1035</t>
  </si>
  <si>
    <t>NGC 1035-12,2 Γαλαξίας</t>
  </si>
  <si>
    <t>ngc 1042</t>
  </si>
  <si>
    <t>NGC 1042-11 Γαλαξίας</t>
  </si>
  <si>
    <t>ngc 1052</t>
  </si>
  <si>
    <t>NGC 1052-10,5 Γαλαξίας</t>
  </si>
  <si>
    <t>ngc 1055</t>
  </si>
  <si>
    <t>NGC 1055-10,6 Γαλαξίας</t>
  </si>
  <si>
    <t xml:space="preserve">52 Mly  William Herschel </t>
  </si>
  <si>
    <t>ngc 1084</t>
  </si>
  <si>
    <t>NGC 1084-10,7 Γαλαξίας</t>
  </si>
  <si>
    <t>ngc 1087</t>
  </si>
  <si>
    <t>NGC 1087-10,8 Γαλαξίας</t>
  </si>
  <si>
    <t xml:space="preserve">80 Mly </t>
  </si>
  <si>
    <t>ngc 1090</t>
  </si>
  <si>
    <t>NGC 1090-11,8 Γαλαξίας</t>
  </si>
  <si>
    <t xml:space="preserve">124 Mly </t>
  </si>
  <si>
    <t>ngc 1232</t>
  </si>
  <si>
    <t>NGC 1232-10,3 Γαλαξίας</t>
  </si>
  <si>
    <t xml:space="preserve">70 Mly </t>
  </si>
  <si>
    <t>ngc 1297</t>
  </si>
  <si>
    <t>NGC 1297-11,8 Γαλαξίας</t>
  </si>
  <si>
    <t xml:space="preserve">72 Mly Edward Emerson Barnard </t>
  </si>
  <si>
    <t>ngc 1300</t>
  </si>
  <si>
    <t>NGC 1300-10,3 Γαλαξίας</t>
  </si>
  <si>
    <t>75 Mly John Herschel</t>
  </si>
  <si>
    <t>ngc 1332</t>
  </si>
  <si>
    <t>NGC 1332-10,3 Γαλαξίας</t>
  </si>
  <si>
    <t xml:space="preserve">  William Herschel</t>
  </si>
  <si>
    <t>ngc 1400</t>
  </si>
  <si>
    <t>NGC 1400-11 Γαλαξίας</t>
  </si>
  <si>
    <t>64 Mly  William Herschel</t>
  </si>
  <si>
    <t>ngc 1407</t>
  </si>
  <si>
    <t>NGC 1407-9,7 Γαλαξίας</t>
  </si>
  <si>
    <t>75 Mly  William Herschel</t>
  </si>
  <si>
    <t>ngc 1499</t>
  </si>
  <si>
    <t>NGC 1499 Καλιφόρνια</t>
  </si>
  <si>
    <t>Νεφέλωμα εκπομπής</t>
  </si>
  <si>
    <t>ngc 1501</t>
  </si>
  <si>
    <t>NGC 1501 Πλανητικό Νεφέλωμα</t>
  </si>
  <si>
    <t xml:space="preserve"> William Herschel</t>
  </si>
  <si>
    <t>ngc 1514</t>
  </si>
  <si>
    <t>NGC 1514 Πλανητικό Νεφέλωμα</t>
  </si>
  <si>
    <t>ngc 1535</t>
  </si>
  <si>
    <t xml:space="preserve">NGC 1535 Πλανητικό Νεφέλωμα   </t>
  </si>
  <si>
    <t>Το μάτι της Κλεοπάτρας William Herschel</t>
  </si>
  <si>
    <t>ngc 1600</t>
  </si>
  <si>
    <t>NGC 1600-11 Γαλαξίας</t>
  </si>
  <si>
    <t xml:space="preserve">200 Mly </t>
  </si>
  <si>
    <t>ngc 1637</t>
  </si>
  <si>
    <t>NGC 1637-10,8 Γαλαξίας</t>
  </si>
  <si>
    <t>30 Mly</t>
  </si>
  <si>
    <t>ngc 1647</t>
  </si>
  <si>
    <t>NGC 1647 Ανοιχτό Σμήνος</t>
  </si>
  <si>
    <t>ngc 1662</t>
  </si>
  <si>
    <t>NGC 1662 Ανοιχτό Σμήνος</t>
  </si>
  <si>
    <t>ngc 1857</t>
  </si>
  <si>
    <t>NGC 1857 Ανοιχτό Σμήνος</t>
  </si>
  <si>
    <t>ngc 1907</t>
  </si>
  <si>
    <t>NGC 1907 Ανοιχτό Σμήνος</t>
  </si>
  <si>
    <t>4.500 Ly</t>
  </si>
  <si>
    <t>ngc 1964</t>
  </si>
  <si>
    <t>NGC 1407-10,8 Γαλαξίας</t>
  </si>
  <si>
    <t>50 Mly  William Herschel</t>
  </si>
  <si>
    <t>ngc 2022</t>
  </si>
  <si>
    <t>NGC 2022 Πλανητικό Νεφέλωμα</t>
  </si>
  <si>
    <t>ngc 2023</t>
  </si>
  <si>
    <t>Νεφέλινος Πήγασος</t>
  </si>
  <si>
    <t>Νεφέλωμα της κεφαλής του ίππου</t>
  </si>
  <si>
    <t>ngc 2024</t>
  </si>
  <si>
    <t>Νεφέλωμα πεταλούδα</t>
  </si>
  <si>
    <t>Νεφέλωμα της φλόγας</t>
  </si>
  <si>
    <t>ngc 2071</t>
  </si>
  <si>
    <t>NGC 2071 Νεφέλωμα Ανάκλασης</t>
  </si>
  <si>
    <t>ngc 2196</t>
  </si>
  <si>
    <t>NGC 2196-11 Γαλαξίας</t>
  </si>
  <si>
    <t>ngc 2232</t>
  </si>
  <si>
    <t>NGC 2232</t>
  </si>
  <si>
    <t>Ανοιχτό Σμήνος</t>
  </si>
  <si>
    <t>ngc 2239</t>
  </si>
  <si>
    <t>NGC 2239 William Herschel</t>
  </si>
  <si>
    <t>Ανοιχτό Σμήνος+ Νεφέλωμα Ροζέτα</t>
  </si>
  <si>
    <t>ngc 2264</t>
  </si>
  <si>
    <t>NGC 2264</t>
  </si>
  <si>
    <t>Ανοιχτό Σμήνος+ νεφέλωμα</t>
  </si>
  <si>
    <t>ngc 2276</t>
  </si>
  <si>
    <t>NGC 2276-11,3 Γαλαξίας</t>
  </si>
  <si>
    <t>Friedrich August Theodor Winnecke</t>
  </si>
  <si>
    <t>ngc 2300</t>
  </si>
  <si>
    <t>NGC 2300-11,1 Γαλαξίας</t>
  </si>
  <si>
    <t>120 Μly Friedrich August Theodor Winnecke</t>
  </si>
  <si>
    <t>ngc 2336</t>
  </si>
  <si>
    <t xml:space="preserve">NGC 2336-10,3 Γαλαξίας </t>
  </si>
  <si>
    <t xml:space="preserve">Ernst Wilhelm Leberecht Tempel </t>
  </si>
  <si>
    <t>ngc 2371</t>
  </si>
  <si>
    <t>NGC 2371-2372 Πλανητικό Νεφέλωμα</t>
  </si>
  <si>
    <t>ngc 2392</t>
  </si>
  <si>
    <t>NGC 2392 Πλανητικό Νεφέλωμα</t>
  </si>
  <si>
    <t xml:space="preserve"> Εσκιμώος William Herschel</t>
  </si>
  <si>
    <t>ngc 2403</t>
  </si>
  <si>
    <t>NGC 2403-8,2 Γαλαξίας</t>
  </si>
  <si>
    <t>8 Mly William Herschel</t>
  </si>
  <si>
    <t>ngc 2438</t>
  </si>
  <si>
    <t>NGC 2438 Πλανητικό Νεφέλωμα</t>
  </si>
  <si>
    <t>ngc 2613</t>
  </si>
  <si>
    <t>NGC 2613-10,5 Γαλαξίας</t>
  </si>
  <si>
    <t>ngc 2683</t>
  </si>
  <si>
    <t>NGC 2683-9,7 Γαλαξίας</t>
  </si>
  <si>
    <t>25 Mly William Herschel</t>
  </si>
  <si>
    <t>ngc 2768</t>
  </si>
  <si>
    <t>NGC 2768-9,9 Γαλαξίας</t>
  </si>
  <si>
    <t>65 Mly</t>
  </si>
  <si>
    <t>ngc 2841</t>
  </si>
  <si>
    <t>NGC 2841-9,3 Γαλαξίας</t>
  </si>
  <si>
    <t>46 Mly William Herschel</t>
  </si>
  <si>
    <t>ngc 2903</t>
  </si>
  <si>
    <t>NGC 2903-8,8 Γαλαξίας</t>
  </si>
  <si>
    <t>30 Mly Herschel</t>
  </si>
  <si>
    <t>ngc 2976</t>
  </si>
  <si>
    <t>NGC 2976 -10,1 Γαλαξίας</t>
  </si>
  <si>
    <t>ngc 2997</t>
  </si>
  <si>
    <t>NGC 2997 -9,5 Γαλαξίας</t>
  </si>
  <si>
    <t xml:space="preserve">40 Mly  William Herschel </t>
  </si>
  <si>
    <t>ngc 3077</t>
  </si>
  <si>
    <t>NGC 3077-10 Γαλαξίας</t>
  </si>
  <si>
    <t xml:space="preserve">13 Mly William Herschel </t>
  </si>
  <si>
    <t>ngc 3109</t>
  </si>
  <si>
    <t>NGC 3109-6,9 Γαλαξίας</t>
  </si>
  <si>
    <t xml:space="preserve">Mly John Herschel </t>
  </si>
  <si>
    <t>ngc 3115</t>
  </si>
  <si>
    <t>NGC 3115-9,1 Γαλαξίας</t>
  </si>
  <si>
    <t xml:space="preserve">32 Mly William Herschel </t>
  </si>
  <si>
    <t>ngc 3166</t>
  </si>
  <si>
    <t>NGC 3166-10,5 Γαλαξίας</t>
  </si>
  <si>
    <t xml:space="preserve">75 Mly William Herschel </t>
  </si>
  <si>
    <t>ngc 3169</t>
  </si>
  <si>
    <t>NGC 3169-10,3 Γαλαξίας</t>
  </si>
  <si>
    <t>ngc 3184</t>
  </si>
  <si>
    <t>NGC 3184-9,6 Γαλαξίας</t>
  </si>
  <si>
    <t xml:space="preserve">40 Mly William Herschel </t>
  </si>
  <si>
    <t>ngc 3185</t>
  </si>
  <si>
    <t>NGC 3185-12 Γαλαξίας</t>
  </si>
  <si>
    <t>William Parsons</t>
  </si>
  <si>
    <t>ngc 3190</t>
  </si>
  <si>
    <t>NGC 3190-11 Γαλαξίας</t>
  </si>
  <si>
    <t>80 Mly  William Herschel</t>
  </si>
  <si>
    <t>ngc 3193</t>
  </si>
  <si>
    <t>NGC 3193-11 Γαλαξίας</t>
  </si>
  <si>
    <t xml:space="preserve">80 Mly William Herschel </t>
  </si>
  <si>
    <t>ngc 3198</t>
  </si>
  <si>
    <t xml:space="preserve">NGC 3198-9,8 Γαλαξίας </t>
  </si>
  <si>
    <t>47 Mly William Parsons</t>
  </si>
  <si>
    <t>ngc 3226</t>
  </si>
  <si>
    <t>NGC 3226-11,4 Γαλαξίας</t>
  </si>
  <si>
    <t xml:space="preserve">77 Mly William Herschel </t>
  </si>
  <si>
    <t>ngc 3227</t>
  </si>
  <si>
    <t>NGC 3227-10,4 Γαλαξίας</t>
  </si>
  <si>
    <t>ngc 3239</t>
  </si>
  <si>
    <t>NGC 3239-11,1 Γαλαξίας</t>
  </si>
  <si>
    <t>35 Mly William Herschel</t>
  </si>
  <si>
    <t>ngc 3242</t>
  </si>
  <si>
    <t>NGC 3242 Πλανητικό νεφέλωμα</t>
  </si>
  <si>
    <t>William Herschel. Το φάντασμα του Δία</t>
  </si>
  <si>
    <t>ngc 3319</t>
  </si>
  <si>
    <t>NGC 3319- 10,8 Γαλαξίας</t>
  </si>
  <si>
    <t>Γαλαξίας</t>
  </si>
  <si>
    <t>ngc 3338</t>
  </si>
  <si>
    <t>NGC 3338-10,9 Γαλαξίας</t>
  </si>
  <si>
    <t>80,8 Mly William Herschel</t>
  </si>
  <si>
    <t>ngc 3344</t>
  </si>
  <si>
    <t>NGC 3344-9,7 Γαλαξίας</t>
  </si>
  <si>
    <t>22,5 Mly</t>
  </si>
  <si>
    <t>ngc 3371</t>
  </si>
  <si>
    <t>NGC 3371ή3384 -10,9 Γαλαξίας</t>
  </si>
  <si>
    <t>ngc 3377</t>
  </si>
  <si>
    <t>NGC 3377-10,2 Γαλαξίας</t>
  </si>
  <si>
    <t xml:space="preserve">26 Mly </t>
  </si>
  <si>
    <t>ngc 3384</t>
  </si>
  <si>
    <t>ngc 3412</t>
  </si>
  <si>
    <t>NGC 3312-10,4 Γαλαξίας</t>
  </si>
  <si>
    <t>ngc 3414</t>
  </si>
  <si>
    <t>NGC 3414-10 Γαλαξίας</t>
  </si>
  <si>
    <t>ngc 3486</t>
  </si>
  <si>
    <t>NGC 3486-10,3 Γαλαξίας</t>
  </si>
  <si>
    <t>27,4 Mly</t>
  </si>
  <si>
    <t>ngc 3489</t>
  </si>
  <si>
    <t>NGC 3489-10,2 Γαλαξίας</t>
  </si>
  <si>
    <t>ngc 3504</t>
  </si>
  <si>
    <t>NGC 3504-10,9 Γαλαξίας</t>
  </si>
  <si>
    <t>ngc 3521</t>
  </si>
  <si>
    <t>NGC 3521-9,2 Γαλαξίας</t>
  </si>
  <si>
    <t>30 Mly William Herschel</t>
  </si>
  <si>
    <t>ngc 3585</t>
  </si>
  <si>
    <t>NGC 3585-9,9 Γαλαξίας</t>
  </si>
  <si>
    <t>ngc 3593</t>
  </si>
  <si>
    <t>NGC 3593-11 Γαλαξίας</t>
  </si>
  <si>
    <t>20,5 Mly</t>
  </si>
  <si>
    <t>ngc 3607</t>
  </si>
  <si>
    <t>NGC 3607-9,9 Γαλαξίας</t>
  </si>
  <si>
    <t>69,7 Mly William Herschel</t>
  </si>
  <si>
    <t>ngc 3608</t>
  </si>
  <si>
    <t>NGC 3608-10,7 Γαλαξίας</t>
  </si>
  <si>
    <t>ngc 3621</t>
  </si>
  <si>
    <t>NGC 3621-9,5 Γαλαξίας</t>
  </si>
  <si>
    <t>22 Mly</t>
  </si>
  <si>
    <t>ngc 3626</t>
  </si>
  <si>
    <t>NGC 3626-10,9 Γαλαξίας</t>
  </si>
  <si>
    <t>70 Mly William Herschel</t>
  </si>
  <si>
    <t>ngc 3628</t>
  </si>
  <si>
    <t>NGC 3628-9,6 Γαλαξίας</t>
  </si>
  <si>
    <t xml:space="preserve">40 Mly </t>
  </si>
  <si>
    <t>ngc 3640</t>
  </si>
  <si>
    <t>NGC 3640-10,3 Γαλαξίας</t>
  </si>
  <si>
    <t>ngc 3646</t>
  </si>
  <si>
    <t>NGC 3646-10,8 Γαλαξίας</t>
  </si>
  <si>
    <t>ngc 3675</t>
  </si>
  <si>
    <t>NGC 3675-10 Γαλαξίας</t>
  </si>
  <si>
    <t>ngc 3718</t>
  </si>
  <si>
    <t>NGC 3718- 10 Γαλαξίας</t>
  </si>
  <si>
    <t xml:space="preserve">52 Mly    </t>
  </si>
  <si>
    <t>ngc 3810</t>
  </si>
  <si>
    <t>NGC 3810-10,6 Γαλαξίας</t>
  </si>
  <si>
    <t>55 Mly William Herschel</t>
  </si>
  <si>
    <t>ngc 3842</t>
  </si>
  <si>
    <t>NGC 3842-11,8 Γαλαξίας</t>
  </si>
  <si>
    <t>92 Mly William Herschel</t>
  </si>
  <si>
    <t>ngc 3923</t>
  </si>
  <si>
    <t>NGC 3923-9,6 Γαλαξίας</t>
  </si>
  <si>
    <t>331 Mly William Herschel</t>
  </si>
  <si>
    <t>ngc 3941</t>
  </si>
  <si>
    <t>NGC 3941-10,3 Γαλαξίας</t>
  </si>
  <si>
    <t>40 Mly William Herschel</t>
  </si>
  <si>
    <t>ngc 3953</t>
  </si>
  <si>
    <t>NGC 3953-10 Γαλαξίας</t>
  </si>
  <si>
    <t>ngc 4038</t>
  </si>
  <si>
    <t>NGC 4038- 10,3 Γαλαξίας Κεραίες</t>
  </si>
  <si>
    <t>65 Mly William Herschel</t>
  </si>
  <si>
    <t>ngc 4039</t>
  </si>
  <si>
    <t>NGC 4039- 10,5 Γαλαξίας Κεραίες</t>
  </si>
  <si>
    <t>ngc 4125</t>
  </si>
  <si>
    <t>NGC 4125- 9,6 Γαλαξίας</t>
  </si>
  <si>
    <t>79,6 Mly</t>
  </si>
  <si>
    <t>ngc 4151</t>
  </si>
  <si>
    <t>NGC 4151 10,8Γαλαξίας</t>
  </si>
  <si>
    <t>62 Mly William Herschel</t>
  </si>
  <si>
    <t>ngc 4214</t>
  </si>
  <si>
    <t>NGC 4214-10,2 Γαλαξίας</t>
  </si>
  <si>
    <t>10 Mly</t>
  </si>
  <si>
    <t>ngc 4236</t>
  </si>
  <si>
    <t>NGC 4236- 10,1 Γαλαξίας</t>
  </si>
  <si>
    <t>11,7 Mly</t>
  </si>
  <si>
    <t>ngc 4244</t>
  </si>
  <si>
    <t>NGC 4244- 10 Γαλαξίας</t>
  </si>
  <si>
    <t>14 Mly</t>
  </si>
  <si>
    <t>ngc 4365</t>
  </si>
  <si>
    <t>NGC 4365-9,6 Γαλαξίας</t>
  </si>
  <si>
    <t>71 Mly William Herschel</t>
  </si>
  <si>
    <t>ngc 4438</t>
  </si>
  <si>
    <t>NGC 4438-10 Γαλαξίας</t>
  </si>
  <si>
    <t>52 Mly</t>
  </si>
  <si>
    <t>ngc 4449</t>
  </si>
  <si>
    <t>NGC 4449- 10 Γαλαξίας</t>
  </si>
  <si>
    <t>12 Mly</t>
  </si>
  <si>
    <t>ngc 4485</t>
  </si>
  <si>
    <t>NGC 4485- 12 Γαλαξίας</t>
  </si>
  <si>
    <t>139 Mly John Herschel</t>
  </si>
  <si>
    <t>ngc 4490</t>
  </si>
  <si>
    <t>NGC 4490- 9,5 Γαλαξίας</t>
  </si>
  <si>
    <t>ngc 4494</t>
  </si>
  <si>
    <t>NGC 4494- 9,7 Γαλαξίας</t>
  </si>
  <si>
    <t>ngc 4526</t>
  </si>
  <si>
    <t>NGC 4526- 9,7 Γαλαξίας</t>
  </si>
  <si>
    <t>ngc 4559</t>
  </si>
  <si>
    <t>NGC 4559- 9,6 Γαλαξίας</t>
  </si>
  <si>
    <t>ngc 4565</t>
  </si>
  <si>
    <t>NGC 4565- 9,5 Γαλαξίας</t>
  </si>
  <si>
    <t>39 Mly William Herschel</t>
  </si>
  <si>
    <t>ngc 4589</t>
  </si>
  <si>
    <t>NGC 4589- 10,7 Γαλαξίας</t>
  </si>
  <si>
    <t>99 Mly</t>
  </si>
  <si>
    <t>ngc 4605</t>
  </si>
  <si>
    <t>NGC 4605- 10,1 Γαλαξίας</t>
  </si>
  <si>
    <t xml:space="preserve">13 Mly    </t>
  </si>
  <si>
    <t>ngc 4618</t>
  </si>
  <si>
    <t>NGC 4618- 10,6 Γαλαξίας</t>
  </si>
  <si>
    <t>ngc 4631</t>
  </si>
  <si>
    <t>NGC 4631- 9 Γαλαξίας</t>
  </si>
  <si>
    <t>20 Miy William Herschel</t>
  </si>
  <si>
    <t>ngc 4636</t>
  </si>
  <si>
    <t>NGC 4636- 9,4 Γαλαξίας</t>
  </si>
  <si>
    <t>57 Miy William Herschel</t>
  </si>
  <si>
    <t>ngc 4656</t>
  </si>
  <si>
    <t>NGC 4656- 10,1 Γαλαξίας</t>
  </si>
  <si>
    <t>ngc 4697</t>
  </si>
  <si>
    <t>NGC 4697- 9,2 Γαλαξίας</t>
  </si>
  <si>
    <t>40 Mly</t>
  </si>
  <si>
    <t>ngc 4699</t>
  </si>
  <si>
    <t>NGC 4699- 9,6 Γαλαξίας</t>
  </si>
  <si>
    <t>ngc 4725</t>
  </si>
  <si>
    <t>NGC 4725- 9,3 Γαλαξίας</t>
  </si>
  <si>
    <t>ngc 4753</t>
  </si>
  <si>
    <t>NGC 4753- 9,7 Γαλαξίας</t>
  </si>
  <si>
    <t>ngc 4762</t>
  </si>
  <si>
    <t>NGC 4762- 10,1 Γαλαξίας</t>
  </si>
  <si>
    <t>58 Mly</t>
  </si>
  <si>
    <t>ngc 5005</t>
  </si>
  <si>
    <t>NGC 5005- 9,8 Γαλαξίας</t>
  </si>
  <si>
    <t>ngc 5033</t>
  </si>
  <si>
    <t>NGC 5033- 10 Γαλαξίας</t>
  </si>
  <si>
    <t>ngc 5053</t>
  </si>
  <si>
    <t>NGC 5033 Σφαιρωτό Σμήνος</t>
  </si>
  <si>
    <t>55.000 Ly William Herschel</t>
  </si>
  <si>
    <t>ngc 5102</t>
  </si>
  <si>
    <t>NGC 5102- 9,5 Γαλαξίας</t>
  </si>
  <si>
    <t>12 Mly John Herschel</t>
  </si>
  <si>
    <t>ngc 5248</t>
  </si>
  <si>
    <t>NGC 5248-10,5 Γαλαξίας</t>
  </si>
  <si>
    <t>59 Mly</t>
  </si>
  <si>
    <t>ngc 5253</t>
  </si>
  <si>
    <t>NGC 5253-10,1 Γαλαξίας</t>
  </si>
  <si>
    <t>10,9 Mly John Herschel</t>
  </si>
  <si>
    <t>ngc 5350</t>
  </si>
  <si>
    <t>NGC 5350- 11,6 Γαλαξίας</t>
  </si>
  <si>
    <t xml:space="preserve"> William Herschel </t>
  </si>
  <si>
    <t>ngc 5353</t>
  </si>
  <si>
    <t>NGC 5353- 11 Γαλαξίας</t>
  </si>
  <si>
    <t xml:space="preserve">110 Mly William Herschel </t>
  </si>
  <si>
    <t>ngc 5354</t>
  </si>
  <si>
    <t>ngc 5363</t>
  </si>
  <si>
    <t>NGC 5363-10,5 Γαλαξίας</t>
  </si>
  <si>
    <t xml:space="preserve">54,5 Mly William Herschel </t>
  </si>
  <si>
    <t>ngc 5364</t>
  </si>
  <si>
    <t>NGC 5364-10,4 Γαλαξίας</t>
  </si>
  <si>
    <t>ngc 5371</t>
  </si>
  <si>
    <t>NGC 5371- 10,5 Γαλαξίας</t>
  </si>
  <si>
    <t>100 Mly</t>
  </si>
  <si>
    <t>ngc 5466</t>
  </si>
  <si>
    <t>NGC 5466  Σφαιρωτό σμήνος</t>
  </si>
  <si>
    <t>ngc 5474</t>
  </si>
  <si>
    <t>NGC 5474- 10,6 Γαλαξίας</t>
  </si>
  <si>
    <t>Σύντροφος του Μ101</t>
  </si>
  <si>
    <t>ngc 5566</t>
  </si>
  <si>
    <t>NGC 5566-10,7 Γαλαξίας</t>
  </si>
  <si>
    <t>65 Mly Herschel</t>
  </si>
  <si>
    <t>ngc 5634</t>
  </si>
  <si>
    <t xml:space="preserve">NGC 5634 Σφαιρωτό σμήνος </t>
  </si>
  <si>
    <t>82.000 Ly</t>
  </si>
  <si>
    <t>ngc 5694</t>
  </si>
  <si>
    <t xml:space="preserve">NGC 5694 Σφαιρωτό σμήνος  </t>
  </si>
  <si>
    <t>114.000 Ly William Herschel</t>
  </si>
  <si>
    <t>ngc 5746</t>
  </si>
  <si>
    <t>NGC 5746-10,7 Γαλαξίας</t>
  </si>
  <si>
    <t>95 Mly</t>
  </si>
  <si>
    <t>ngc 5813</t>
  </si>
  <si>
    <t>NGC 5813-10,5 Γαλαξίας</t>
  </si>
  <si>
    <t>105 Mly  William Herschel</t>
  </si>
  <si>
    <t>ngc 5824</t>
  </si>
  <si>
    <t xml:space="preserve">NGC 5824 Σφαιρωτό σμήνος </t>
  </si>
  <si>
    <t>James Dunlop</t>
  </si>
  <si>
    <t>ngc 5846</t>
  </si>
  <si>
    <t>NGC 5846-10,1 Γαλαξίας</t>
  </si>
  <si>
    <t>ngc 5850</t>
  </si>
  <si>
    <t>NGC 5850-10,8 Γαλαξίας</t>
  </si>
  <si>
    <t>ngc 5866</t>
  </si>
  <si>
    <t>NGC 5866- 9,9 Γαλαξίας Αδράχτι</t>
  </si>
  <si>
    <t>NGC 5866 ή Μ102</t>
  </si>
  <si>
    <t>ngc 5897</t>
  </si>
  <si>
    <t xml:space="preserve">NGC 5846 Σφαιρωτό σμήνοςLy 40.000      </t>
  </si>
  <si>
    <t xml:space="preserve"> 40.000 Ly</t>
  </si>
  <si>
    <t>ngc 5907</t>
  </si>
  <si>
    <t>NGC 5907- 10,4 Γαλαξίας Μαχαίρι</t>
  </si>
  <si>
    <t>ngc 5982</t>
  </si>
  <si>
    <t>NGC 5982- 11 Γαλαξίας</t>
  </si>
  <si>
    <t>ngc 5985</t>
  </si>
  <si>
    <t>NGC 5985-11,1 Γαλαξίας</t>
  </si>
  <si>
    <t xml:space="preserve">NGC 5985 140 Mly William Herschel </t>
  </si>
  <si>
    <t>ngc 6181</t>
  </si>
  <si>
    <t>NGC 6181-11,8 Γαλαξίας</t>
  </si>
  <si>
    <t xml:space="preserve">NGC 6181 107 MlY William Herschel </t>
  </si>
  <si>
    <t>ngc 6207</t>
  </si>
  <si>
    <t>NGC 6207-11,4 Γαλαξίας</t>
  </si>
  <si>
    <t>60 Mly</t>
  </si>
  <si>
    <t>ngc 6210</t>
  </si>
  <si>
    <t>NGC 6210 Πλανητικό Νεφέλωμα</t>
  </si>
  <si>
    <t>Friedrich Georg Wilhelm von Struve</t>
  </si>
  <si>
    <t>ngc 6229</t>
  </si>
  <si>
    <t>NGC 6229 Σφαιρωτό σμήνος</t>
  </si>
  <si>
    <t xml:space="preserve">100.000 Ly William Herschel </t>
  </si>
  <si>
    <t>ngc 6293</t>
  </si>
  <si>
    <t>NGC 6293 Σφαιρωτό σμήνος</t>
  </si>
  <si>
    <t>28.700 Ly Lewis A. Swift</t>
  </si>
  <si>
    <t>ngc 6302</t>
  </si>
  <si>
    <t>NGC 6302 Πλανητικό Νεφέλωμα Πεταλούδα</t>
  </si>
  <si>
    <t>Butterfly Nebula</t>
  </si>
  <si>
    <t>ngc 6304</t>
  </si>
  <si>
    <t>NGC 6304 Σφαιρωτό σμήνος</t>
  </si>
  <si>
    <t xml:space="preserve">19.000 Ly William Herschel </t>
  </si>
  <si>
    <t>ngc 6309</t>
  </si>
  <si>
    <t>NGC 6309 Πλανητικό Νεφέλωμα</t>
  </si>
  <si>
    <t>Wilhelm Tempel</t>
  </si>
  <si>
    <t>ngc 6316</t>
  </si>
  <si>
    <t>NGC 6316 Σφαιρωτό σμήνος</t>
  </si>
  <si>
    <t>35.000 Ly William Herschel</t>
  </si>
  <si>
    <t>ngc 6356</t>
  </si>
  <si>
    <t>NGC 6356 Σφαιρωτό σμήνος</t>
  </si>
  <si>
    <t xml:space="preserve">49.600 Ly William Herschel </t>
  </si>
  <si>
    <t>ngc 6366</t>
  </si>
  <si>
    <t>NGC 6366 Σφαιρωτό σμήνος</t>
  </si>
  <si>
    <t>11.700 Ly</t>
  </si>
  <si>
    <t>ngc 6369</t>
  </si>
  <si>
    <t>NGC 6369 Πλανητικό Νεφέλωμα Μικρό φάντασμα</t>
  </si>
  <si>
    <t>Little Ghost Nebula William Herschel</t>
  </si>
  <si>
    <t>ngc 6374</t>
  </si>
  <si>
    <t>NGC 6374 Ανοιχτό Σμήνος</t>
  </si>
  <si>
    <t xml:space="preserve"> John Herschel</t>
  </si>
  <si>
    <t>ngc 6383</t>
  </si>
  <si>
    <t>NGC 6383 Ανοιχτό Σμήνος</t>
  </si>
  <si>
    <t>ngc 6384</t>
  </si>
  <si>
    <t>NGC 6384-10,4 Γαλαξίας</t>
  </si>
  <si>
    <t xml:space="preserve">77 Mly </t>
  </si>
  <si>
    <t>ngc 6440</t>
  </si>
  <si>
    <t xml:space="preserve">NGC 6440  </t>
  </si>
  <si>
    <t>Σφαιρωτό Σμήνος</t>
  </si>
  <si>
    <t>ngc 6445</t>
  </si>
  <si>
    <t>NGC 6445</t>
  </si>
  <si>
    <t>ngc 6503</t>
  </si>
  <si>
    <t>NGC 6503-10,2 Γαλαξίας</t>
  </si>
  <si>
    <t>18 Mly</t>
  </si>
  <si>
    <t>ngc 6539</t>
  </si>
  <si>
    <t>NGC 6539 Σφαιρωτό σμήνος</t>
  </si>
  <si>
    <t>25.400 Ly Theodor Brorsen</t>
  </si>
  <si>
    <t>ngc 6543</t>
  </si>
  <si>
    <t>NGC 6543 Πλανητικό Νεφέλωμα Μάτι της γάτας</t>
  </si>
  <si>
    <t>Το νεφέλωμα του πόλου της εκλειπτικής ή Cat's Eye Nebula   Herschel</t>
  </si>
  <si>
    <t>ngc 6572</t>
  </si>
  <si>
    <t>NGC 6572 Πλανητικό Νεφέλωμα</t>
  </si>
  <si>
    <t>ngc 6624</t>
  </si>
  <si>
    <t>NGC 6624 Σφαιρωτό σμήνος</t>
  </si>
  <si>
    <t>25.800 Ly William Herschel</t>
  </si>
  <si>
    <t>ngc 6652</t>
  </si>
  <si>
    <t>NGC 6652 Σφαιρωτό σμήνος</t>
  </si>
  <si>
    <t xml:space="preserve">10.100 Ly </t>
  </si>
  <si>
    <t>ngc 6712</t>
  </si>
  <si>
    <t>NGC 6712 Σφαιρωτό σμήνος</t>
  </si>
  <si>
    <t>22.500 Ly William Herschel</t>
  </si>
  <si>
    <t>ngc 6755</t>
  </si>
  <si>
    <t>NGC 6755 Ανοιχτό Σμήνος</t>
  </si>
  <si>
    <t>4.632 Ly</t>
  </si>
  <si>
    <t>ngc 6760</t>
  </si>
  <si>
    <t>NGC 6760 Σφαιρωτό σμήνος</t>
  </si>
  <si>
    <t>ngc 6781</t>
  </si>
  <si>
    <t>NGC 6781 Πλανητικό Νεφέλωμα</t>
  </si>
  <si>
    <t>Μεγάλο αμυδρό + φίλτρο</t>
  </si>
  <si>
    <t>ngc 6790</t>
  </si>
  <si>
    <t>NGC 6790 Πλανητικό Νεφέλωμα</t>
  </si>
  <si>
    <t>Πολύ μικρό - φωτεινό 200Χ</t>
  </si>
  <si>
    <t>ngc 6791</t>
  </si>
  <si>
    <t>NGC 6791 Ανοιχτό Σμήνος</t>
  </si>
  <si>
    <t>13.300 Ly</t>
  </si>
  <si>
    <t>ngc 6818</t>
  </si>
  <si>
    <t>NGC 6818 Πλανητικό Νεφέλωμα</t>
  </si>
  <si>
    <t xml:space="preserve"> Litle Gem William Herschel</t>
  </si>
  <si>
    <t>ngc 6822</t>
  </si>
  <si>
    <t>NGC 6822-9,3 Γαλαξίας</t>
  </si>
  <si>
    <t xml:space="preserve"> 1,6 Mly Barnard</t>
  </si>
  <si>
    <t>ngc 6826</t>
  </si>
  <si>
    <t>NGC 6826 Πλανητικό Νεφέλωμα Που βλεφαρίζει</t>
  </si>
  <si>
    <t>"blinking planetary" William Herschel</t>
  </si>
  <si>
    <t>ngc 6884</t>
  </si>
  <si>
    <t>NGC 6884 Πλανητικό Νεφέλωμα</t>
  </si>
  <si>
    <t>Μικρό αλλά φωτεινό</t>
  </si>
  <si>
    <t>ngc 6885</t>
  </si>
  <si>
    <t>NGC 6885 Ανοιχτό Σμήνος</t>
  </si>
  <si>
    <t>NGC 6885</t>
  </si>
  <si>
    <t>ngc 6886</t>
  </si>
  <si>
    <t>NGC 6886 Πλανητικό Νεφέλωμα</t>
  </si>
  <si>
    <t>Ralph Copeland</t>
  </si>
  <si>
    <t>ngc 6891</t>
  </si>
  <si>
    <t>NGC 6891 Πλανητικό Νεφέλωμα</t>
  </si>
  <si>
    <t>ngc 6905</t>
  </si>
  <si>
    <t>NGC 6905 Πλανητικό Νεφέλωμα Γαλάζια λάμψη</t>
  </si>
  <si>
    <t>Blue Flash Nebula William Herschel</t>
  </si>
  <si>
    <t>ngc 6939</t>
  </si>
  <si>
    <t>NGC 6936 Ανοιχτό Σμήνος</t>
  </si>
  <si>
    <t>5.000 Ly William Herschel</t>
  </si>
  <si>
    <t>ngc 6946</t>
  </si>
  <si>
    <t xml:space="preserve">NGC 6946- 9 Γαλαξίας των πυροτεχνημάτων </t>
  </si>
  <si>
    <t xml:space="preserve"> 20 Mly Fireworks Galaxy William Herschel</t>
  </si>
  <si>
    <t>ngc 6995</t>
  </si>
  <si>
    <t>NGC 6995 Νεφέλωμα</t>
  </si>
  <si>
    <t>Νεφέλωμα Δαντέλα</t>
  </si>
  <si>
    <t>ngc 7008</t>
  </si>
  <si>
    <t>NGC 7008 Πλανητικό Νεφέλωμα</t>
  </si>
  <si>
    <t>ngc 7009</t>
  </si>
  <si>
    <t>NGC 7009 Πλανητικό Νεφέλωμα Κρόνος</t>
  </si>
  <si>
    <t>Saturn Nebula William Herschel</t>
  </si>
  <si>
    <t>ngc 7026</t>
  </si>
  <si>
    <t>NGC 7026 Πλανητικό Νεφέλωμα</t>
  </si>
  <si>
    <t xml:space="preserve"> </t>
  </si>
  <si>
    <t>ngc 7027</t>
  </si>
  <si>
    <t>NGC 7027 Πλανητικό Νεφέλωμα</t>
  </si>
  <si>
    <t xml:space="preserve">Édouard Jean-Marie Stephan </t>
  </si>
  <si>
    <t>ngc 7217</t>
  </si>
  <si>
    <t>NGC 7217-10,5 Γαλαξίας</t>
  </si>
  <si>
    <t xml:space="preserve"> 50 Mly Herschel</t>
  </si>
  <si>
    <t>ngc 7252</t>
  </si>
  <si>
    <t>NGC 7252- 11,1 Γαλαξίας Το άτομο της ειρήνης</t>
  </si>
  <si>
    <t>220 Mly !!! Atoms for Peace galaxy</t>
  </si>
  <si>
    <t>ngc 7293</t>
  </si>
  <si>
    <t>NGC 7293 Πλανητικό Νεφέλωμα Έλικας</t>
  </si>
  <si>
    <t>Karl Ludwig Harding</t>
  </si>
  <si>
    <t>ngc 7314</t>
  </si>
  <si>
    <t>NGC 7314- 10,8 Γαλαξίας</t>
  </si>
  <si>
    <t>NGC 7314</t>
  </si>
  <si>
    <t>ngc 7331</t>
  </si>
  <si>
    <t>NGC 7331-9,5 Γαλαξίας</t>
  </si>
  <si>
    <t xml:space="preserve"> 45 Mly Herschel</t>
  </si>
  <si>
    <t>ngc 7332</t>
  </si>
  <si>
    <t>NGC 7332- 11Γαλαξίας</t>
  </si>
  <si>
    <t>67 Μly</t>
  </si>
  <si>
    <t>ngc 7377</t>
  </si>
  <si>
    <t>NGC 7377- 11Γαλαξίας</t>
  </si>
  <si>
    <t>155 Mly William Herschel</t>
  </si>
  <si>
    <t>ngc 7448</t>
  </si>
  <si>
    <t xml:space="preserve">NGC 7448- 11Γαλαξία </t>
  </si>
  <si>
    <t>ngc 7454</t>
  </si>
  <si>
    <t xml:space="preserve">NGC 7454- 11,8 Γαλαξίας </t>
  </si>
  <si>
    <t>93 Miy John Herschel</t>
  </si>
  <si>
    <t>ngc 7457</t>
  </si>
  <si>
    <t xml:space="preserve">NGC 7457-11 Γαλαξίας </t>
  </si>
  <si>
    <t>John Herschel</t>
  </si>
  <si>
    <t>ngc 7479</t>
  </si>
  <si>
    <t xml:space="preserve">NGC 7479-10,9 Γαλαξίας </t>
  </si>
  <si>
    <t>109 Mly John Herschel</t>
  </si>
  <si>
    <t>ngc 7507</t>
  </si>
  <si>
    <t>NGC 7507-10,4Γαλαξίας</t>
  </si>
  <si>
    <t xml:space="preserve"> 72 Mly William Herschel</t>
  </si>
  <si>
    <t>ngc 7606</t>
  </si>
  <si>
    <t>NGC 7606-10,8 Γαλαξίας</t>
  </si>
  <si>
    <t xml:space="preserve"> 103 Mly William Herschel</t>
  </si>
  <si>
    <t>ngc 7619</t>
  </si>
  <si>
    <t>NGC 7619 -11 Γαλαξίας</t>
  </si>
  <si>
    <t>148 Mly William Herschel</t>
  </si>
  <si>
    <t>ngc 7626</t>
  </si>
  <si>
    <t>NGC 7626 -11Γαλαξίας</t>
  </si>
  <si>
    <t>ngc 7640</t>
  </si>
  <si>
    <t>NGC 7640-11,1 Γαλαξίας</t>
  </si>
  <si>
    <t xml:space="preserve"> 29 Mly Herschel</t>
  </si>
  <si>
    <t>ngc 7662</t>
  </si>
  <si>
    <t>NGC 7662 Π.Ν.1800 εφ</t>
  </si>
  <si>
    <t>Μπλέ χιονόμπαλα</t>
  </si>
  <si>
    <t>ngc 7723</t>
  </si>
  <si>
    <t>NGC 7723-11,2 Γαλαξίας</t>
  </si>
  <si>
    <t xml:space="preserve"> 80 Mly William Herschel</t>
  </si>
  <si>
    <t>ngc 7727</t>
  </si>
  <si>
    <t>NGC 7727-10,4 Γαλαξίας</t>
  </si>
  <si>
    <t xml:space="preserve"> 76 Mly William Herschel</t>
  </si>
  <si>
    <t>ngc 7741</t>
  </si>
  <si>
    <t>NGC 7741-11 Γαλαξίας</t>
  </si>
  <si>
    <t>ngc 7769</t>
  </si>
  <si>
    <t>NGC 7769-12 Γαλαξίας</t>
  </si>
  <si>
    <t>195 Μly William Herschel</t>
  </si>
  <si>
    <t>ngc 7771</t>
  </si>
  <si>
    <t>NGC 7771-12 Γαλαξίας</t>
  </si>
  <si>
    <t>200 Mly William Herschel</t>
  </si>
  <si>
    <t>ngc 7785</t>
  </si>
  <si>
    <t>NGC 7785-11,6 Γαλαξίας</t>
  </si>
  <si>
    <t>175 Mly John Herschel</t>
  </si>
  <si>
    <t>ngc 7793</t>
  </si>
  <si>
    <t>NGC 7793-9 Γαλαξίας</t>
  </si>
  <si>
    <t>ngc 7814</t>
  </si>
  <si>
    <t>NGC 7814-10,8 Γαλαξίας μικρό σομπρέρο</t>
  </si>
  <si>
    <t> "the little sombrero",</t>
  </si>
  <si>
    <t>ngc 7817</t>
  </si>
  <si>
    <t>NGC 7817-11,8 Γαλαξίας</t>
  </si>
  <si>
    <t>Όφι</t>
  </si>
  <si>
    <t>Serpens</t>
  </si>
  <si>
    <t>α Ser</t>
  </si>
  <si>
    <t>α Όφι</t>
  </si>
  <si>
    <t>α Serpens</t>
  </si>
  <si>
    <t>β Ser</t>
  </si>
  <si>
    <t>β Όφι. Οπτικά Διπλός</t>
  </si>
  <si>
    <t>β Serpens. Οπτικά Διπλός</t>
  </si>
  <si>
    <t>γ Ser</t>
  </si>
  <si>
    <t>γ Όφι</t>
  </si>
  <si>
    <t>γ Serpens</t>
  </si>
  <si>
    <t>δ Ser</t>
  </si>
  <si>
    <t>δ Όφι. Διπλός</t>
  </si>
  <si>
    <t>δ Serpens. Διπλός</t>
  </si>
  <si>
    <t>ε Ser</t>
  </si>
  <si>
    <t>ε Όφι</t>
  </si>
  <si>
    <t>ε Serpens</t>
  </si>
  <si>
    <t>η Ser</t>
  </si>
  <si>
    <t>η Όφι</t>
  </si>
  <si>
    <t>η Serpens</t>
  </si>
  <si>
    <t>θ Ser</t>
  </si>
  <si>
    <t>θ Όφι. Διπλός</t>
  </si>
  <si>
    <t>θ Serpens. Διπλός</t>
  </si>
  <si>
    <t>ι Ser</t>
  </si>
  <si>
    <t>ι Όφι</t>
  </si>
  <si>
    <t>ι Serpens</t>
  </si>
  <si>
    <t>κ Ser</t>
  </si>
  <si>
    <t>κ Όφι</t>
  </si>
  <si>
    <t>κ Serpens</t>
  </si>
  <si>
    <t>μ Ser</t>
  </si>
  <si>
    <t>μ Όφι</t>
  </si>
  <si>
    <t>μ Serpens</t>
  </si>
  <si>
    <t>ν Ser</t>
  </si>
  <si>
    <t>ν Όφι</t>
  </si>
  <si>
    <t>ν Serpens</t>
  </si>
  <si>
    <t>ξ Ser</t>
  </si>
  <si>
    <t>ξ Όφι</t>
  </si>
  <si>
    <t>ξ Serpens</t>
  </si>
  <si>
    <t>ρ Ser</t>
  </si>
  <si>
    <t>ρ Όφι</t>
  </si>
  <si>
    <t>ρ Serpens</t>
  </si>
  <si>
    <t>Οφιούχου</t>
  </si>
  <si>
    <t>67 Oph</t>
  </si>
  <si>
    <t>67 Οφιούχου. Διπλός</t>
  </si>
  <si>
    <t>67 Ophiuchus. Διπλός</t>
  </si>
  <si>
    <t>68 Oph</t>
  </si>
  <si>
    <t>68 Οφιούχου. Διπλός</t>
  </si>
  <si>
    <t>68 Ophiuchus. Διπλός</t>
  </si>
  <si>
    <t>70 Oph</t>
  </si>
  <si>
    <t>70 Οφιούχου. Διπλός</t>
  </si>
  <si>
    <t>70 Ophiuchus. Διπλός</t>
  </si>
  <si>
    <t>α Oph</t>
  </si>
  <si>
    <t>α Οφιούχου</t>
  </si>
  <si>
    <t>α Ophiuchus</t>
  </si>
  <si>
    <t>β Oph</t>
  </si>
  <si>
    <t>β Οφιούχου</t>
  </si>
  <si>
    <t>β Ophiuchus</t>
  </si>
  <si>
    <t>γ Oph</t>
  </si>
  <si>
    <t>γ Οφιούχου</t>
  </si>
  <si>
    <t>γ Ophiuchus</t>
  </si>
  <si>
    <t>δ Oph</t>
  </si>
  <si>
    <t>δ Οφιούχου</t>
  </si>
  <si>
    <t>δ Ophiuchus</t>
  </si>
  <si>
    <t>ε Oph</t>
  </si>
  <si>
    <t>ε Οφιούχου</t>
  </si>
  <si>
    <t>ε Ophiuchus</t>
  </si>
  <si>
    <t>ζ Oph</t>
  </si>
  <si>
    <t>ζ Οφιούχου</t>
  </si>
  <si>
    <t>ζ Ophiuchus</t>
  </si>
  <si>
    <t>η Oph</t>
  </si>
  <si>
    <t>η Οφιούχου</t>
  </si>
  <si>
    <t>η Ophiuchus</t>
  </si>
  <si>
    <t>θ Oph</t>
  </si>
  <si>
    <t>θ Οφιούχου</t>
  </si>
  <si>
    <t>θ Ophiuchus</t>
  </si>
  <si>
    <t>ι oph</t>
  </si>
  <si>
    <t>ι Οφιούχου</t>
  </si>
  <si>
    <t>ι Ophiuchus</t>
  </si>
  <si>
    <t>κ oph</t>
  </si>
  <si>
    <t>κ Οφιούχου</t>
  </si>
  <si>
    <t>κ Ophiuchus</t>
  </si>
  <si>
    <t>λ oph</t>
  </si>
  <si>
    <t>λ Οφιούχου Διπλός.</t>
  </si>
  <si>
    <t>λ Ophiuchus</t>
  </si>
  <si>
    <t>ν Oph</t>
  </si>
  <si>
    <t>ν Οφιούχου</t>
  </si>
  <si>
    <t>ν Ophiuchus</t>
  </si>
  <si>
    <t>ρ Oph</t>
  </si>
  <si>
    <t>ρ Οφιούχου</t>
  </si>
  <si>
    <t>ρ Ophiuchus</t>
  </si>
  <si>
    <t>τ Oph</t>
  </si>
  <si>
    <t>τ Οφιούχου</t>
  </si>
  <si>
    <t>τ Ophiuchus</t>
  </si>
  <si>
    <t>υ oph</t>
  </si>
  <si>
    <t>υ Οφιούχου</t>
  </si>
  <si>
    <t>υ Ophiuchus</t>
  </si>
  <si>
    <t>Παρθένου</t>
  </si>
  <si>
    <t>109 Vir</t>
  </si>
  <si>
    <t>109 Παρθένου</t>
  </si>
  <si>
    <t>109 Virgo</t>
  </si>
  <si>
    <t>α Vir</t>
  </si>
  <si>
    <t>α Παρθένου. Στάχυς</t>
  </si>
  <si>
    <t>α Virgo. Spica</t>
  </si>
  <si>
    <t>β Vir</t>
  </si>
  <si>
    <t>β Παρθένου</t>
  </si>
  <si>
    <t>β Virgo</t>
  </si>
  <si>
    <t>γ Vir</t>
  </si>
  <si>
    <t>γ Παρθένου. Διπλός</t>
  </si>
  <si>
    <t>γ Virgo. Διπλός</t>
  </si>
  <si>
    <t>δ Vir</t>
  </si>
  <si>
    <t>δ Παρθένου</t>
  </si>
  <si>
    <t>δ Virgo</t>
  </si>
  <si>
    <t>ε Vir</t>
  </si>
  <si>
    <t>ε Παρθένου</t>
  </si>
  <si>
    <t>ε Virgo</t>
  </si>
  <si>
    <t>ζ Vir</t>
  </si>
  <si>
    <t>ζ Παρθένου</t>
  </si>
  <si>
    <t>ζ Virgo</t>
  </si>
  <si>
    <t>η Vir</t>
  </si>
  <si>
    <t>η Παρθένου</t>
  </si>
  <si>
    <t>η Virgo</t>
  </si>
  <si>
    <t>θ Vir</t>
  </si>
  <si>
    <t>θ Παρθένου</t>
  </si>
  <si>
    <t>θ Virgo</t>
  </si>
  <si>
    <t>ι Vir</t>
  </si>
  <si>
    <t>ι Παρθένου</t>
  </si>
  <si>
    <t>ι Virgo</t>
  </si>
  <si>
    <t>κ Vir</t>
  </si>
  <si>
    <t>κ Παρθένου</t>
  </si>
  <si>
    <t>κ Virgo</t>
  </si>
  <si>
    <t>μ Vir</t>
  </si>
  <si>
    <t>μ Παρθένου</t>
  </si>
  <si>
    <t>μ Virgo</t>
  </si>
  <si>
    <t>ν Vir</t>
  </si>
  <si>
    <t>ν Παρθένου</t>
  </si>
  <si>
    <t>ν Virgo</t>
  </si>
  <si>
    <t>ο Vir</t>
  </si>
  <si>
    <t>ο Παρθένου</t>
  </si>
  <si>
    <t>ο Virgo</t>
  </si>
  <si>
    <t>π Vir</t>
  </si>
  <si>
    <t>π Παρθένου</t>
  </si>
  <si>
    <t>π Virgo</t>
  </si>
  <si>
    <t>τ Vir</t>
  </si>
  <si>
    <t>τ Παρθένου</t>
  </si>
  <si>
    <t>τ Virgo</t>
  </si>
  <si>
    <t>χ vir</t>
  </si>
  <si>
    <t>χ Παρθένου</t>
  </si>
  <si>
    <t>χ Virgo</t>
  </si>
  <si>
    <t>ψ vir</t>
  </si>
  <si>
    <t>ψ Παρθένου</t>
  </si>
  <si>
    <t>ψ Virgo</t>
  </si>
  <si>
    <t>Περσέα</t>
  </si>
  <si>
    <t>α Per</t>
  </si>
  <si>
    <t>α Περσέα</t>
  </si>
  <si>
    <t>α Perseus</t>
  </si>
  <si>
    <t>β Per</t>
  </si>
  <si>
    <t>β Περσέα</t>
  </si>
  <si>
    <t>β Perseus</t>
  </si>
  <si>
    <t>γ Per</t>
  </si>
  <si>
    <t>γ Περσέα</t>
  </si>
  <si>
    <t>γ Perseus</t>
  </si>
  <si>
    <t>δ Per</t>
  </si>
  <si>
    <t>δ Περσέα</t>
  </si>
  <si>
    <t>δ Perseus</t>
  </si>
  <si>
    <t>ε Per</t>
  </si>
  <si>
    <t>ε Περσέα</t>
  </si>
  <si>
    <t>ε Perseus</t>
  </si>
  <si>
    <t>ζ Per</t>
  </si>
  <si>
    <t>ζ Περσέα</t>
  </si>
  <si>
    <t>ζ Perseus</t>
  </si>
  <si>
    <t>η Per</t>
  </si>
  <si>
    <t>η Περσέα. Διπλός</t>
  </si>
  <si>
    <t>η Perseus. Διπλός</t>
  </si>
  <si>
    <t>ν Per</t>
  </si>
  <si>
    <t>ν Περσέα</t>
  </si>
  <si>
    <t>ν Perseus</t>
  </si>
  <si>
    <t>ξ Per</t>
  </si>
  <si>
    <t>ξ Περσέα. Διπλός</t>
  </si>
  <si>
    <t>ξ Perseus. Διπλός</t>
  </si>
  <si>
    <t>ο Per</t>
  </si>
  <si>
    <t>ο Περσέα</t>
  </si>
  <si>
    <t>ο Perseus</t>
  </si>
  <si>
    <t>ρ Per</t>
  </si>
  <si>
    <t>ρ Περσέα</t>
  </si>
  <si>
    <t>ρ Perseus</t>
  </si>
  <si>
    <t>φ Per</t>
  </si>
  <si>
    <t>φ Περσέα</t>
  </si>
  <si>
    <t>φ Perseus</t>
  </si>
  <si>
    <t>Πηγάσου</t>
  </si>
  <si>
    <t>α Peg</t>
  </si>
  <si>
    <t>α Πηγάσου</t>
  </si>
  <si>
    <t>α Pegasus</t>
  </si>
  <si>
    <t>β Peg</t>
  </si>
  <si>
    <t>β Πηγάσου</t>
  </si>
  <si>
    <t>β Pegasus</t>
  </si>
  <si>
    <t>γ Peg</t>
  </si>
  <si>
    <t>γ Πηγάσου. Variable star</t>
  </si>
  <si>
    <t>γ Pegasus. Variable star</t>
  </si>
  <si>
    <t>ε Peg</t>
  </si>
  <si>
    <t>ε Πηγάσου</t>
  </si>
  <si>
    <t>ε Pegasus</t>
  </si>
  <si>
    <t>ζ Peg</t>
  </si>
  <si>
    <t>ζ Πηγάσου</t>
  </si>
  <si>
    <t>ζ Pegasus</t>
  </si>
  <si>
    <t>η Peg</t>
  </si>
  <si>
    <t>η Πηγάσου</t>
  </si>
  <si>
    <t>η Pegasus</t>
  </si>
  <si>
    <t>θ Peg</t>
  </si>
  <si>
    <t>θ Πηγάσου</t>
  </si>
  <si>
    <t>θ Pegasus</t>
  </si>
  <si>
    <t>λ Peg</t>
  </si>
  <si>
    <t>λ Πηγάσου</t>
  </si>
  <si>
    <t>λ Pegasus</t>
  </si>
  <si>
    <t>μ Peg</t>
  </si>
  <si>
    <t>μ Πηγάσου</t>
  </si>
  <si>
    <t>μ Pegasus</t>
  </si>
  <si>
    <t>ο peg</t>
  </si>
  <si>
    <t>ο Πηγάσου</t>
  </si>
  <si>
    <t>ο Pegasus</t>
  </si>
  <si>
    <t>π Peg</t>
  </si>
  <si>
    <t>π Πηγάσου</t>
  </si>
  <si>
    <t>π Pegasus</t>
  </si>
  <si>
    <t>τ Peg</t>
  </si>
  <si>
    <t>τ Πηγάσου</t>
  </si>
  <si>
    <t>τ Pegasus</t>
  </si>
  <si>
    <t>υ Peg</t>
  </si>
  <si>
    <t>υ Πηγάσου</t>
  </si>
  <si>
    <t>υ Pegasus</t>
  </si>
  <si>
    <t>φ Peg</t>
  </si>
  <si>
    <t>φ Πηγάσου</t>
  </si>
  <si>
    <t>φ Pegasus</t>
  </si>
  <si>
    <t>χ Peg</t>
  </si>
  <si>
    <t>χ Πηγάσου. Variable star</t>
  </si>
  <si>
    <t>χ Pegasus. Variable star</t>
  </si>
  <si>
    <t>ψ peg</t>
  </si>
  <si>
    <t>ψ Πηγάσου</t>
  </si>
  <si>
    <t>ψ Pegasus</t>
  </si>
  <si>
    <t>Περιστέρος</t>
  </si>
  <si>
    <t>α Col</t>
  </si>
  <si>
    <t>α Περιστέρας</t>
  </si>
  <si>
    <t>α Columba</t>
  </si>
  <si>
    <t>β Col</t>
  </si>
  <si>
    <t>β Περιστέρας</t>
  </si>
  <si>
    <t>β Columba</t>
  </si>
  <si>
    <t>δ Col</t>
  </si>
  <si>
    <t>δ Περιστέρας</t>
  </si>
  <si>
    <t>δ Columba</t>
  </si>
  <si>
    <t>ε Col</t>
  </si>
  <si>
    <t>ε Περιστέρας</t>
  </si>
  <si>
    <t>ε Columba</t>
  </si>
  <si>
    <t>Πρύμης</t>
  </si>
  <si>
    <t>ξ Pup</t>
  </si>
  <si>
    <t>ξ Πρύμης</t>
  </si>
  <si>
    <t>ξ Puppis</t>
  </si>
  <si>
    <t>ρ Pup</t>
  </si>
  <si>
    <t>ρ Πρύμης</t>
  </si>
  <si>
    <t>ρ Puppis</t>
  </si>
  <si>
    <t>Πυξίδος</t>
  </si>
  <si>
    <t>Σαύρας</t>
  </si>
  <si>
    <t>α Lac</t>
  </si>
  <si>
    <t>α Σαύρας</t>
  </si>
  <si>
    <t>α Lacerta</t>
  </si>
  <si>
    <t>β Lac</t>
  </si>
  <si>
    <t>β Σαύρας</t>
  </si>
  <si>
    <t>β Lacerta</t>
  </si>
  <si>
    <t>Σκορπιού</t>
  </si>
  <si>
    <t>α Sco</t>
  </si>
  <si>
    <t>α Σκορπιού. Διπλός Αντάρης</t>
  </si>
  <si>
    <t>α Scopius. Διπλός Antares</t>
  </si>
  <si>
    <t>β Sco</t>
  </si>
  <si>
    <t>β Σκορπιού. Διπλός</t>
  </si>
  <si>
    <t>β Scorpius. Διπλός</t>
  </si>
  <si>
    <t>δ Sco</t>
  </si>
  <si>
    <t>δ Σκορπιού</t>
  </si>
  <si>
    <t>δ Scorpius</t>
  </si>
  <si>
    <t>ε Sco</t>
  </si>
  <si>
    <t>ε Σκορπιού</t>
  </si>
  <si>
    <t>ε Scorpius</t>
  </si>
  <si>
    <t>ζ Sco</t>
  </si>
  <si>
    <t>ζ Σκορπιού. Πολλά μαζί</t>
  </si>
  <si>
    <t>ζ Scorpius. Πολλά μαζί</t>
  </si>
  <si>
    <t>η Sco</t>
  </si>
  <si>
    <t>η Σκορπιού</t>
  </si>
  <si>
    <t>η Scorpius</t>
  </si>
  <si>
    <t>θ Sco</t>
  </si>
  <si>
    <t>θ Σκορπιού</t>
  </si>
  <si>
    <t>θ Scorpius</t>
  </si>
  <si>
    <t>ι1 sco</t>
  </si>
  <si>
    <t>ι1 Σκορπιού</t>
  </si>
  <si>
    <t>ι1 Scorpius</t>
  </si>
  <si>
    <t>κ Sco</t>
  </si>
  <si>
    <t>κ Σκορπιού</t>
  </si>
  <si>
    <t>κ Scorpius</t>
  </si>
  <si>
    <t>λ Sco</t>
  </si>
  <si>
    <t>λ Σκορπιού</t>
  </si>
  <si>
    <t>λ Scorpius</t>
  </si>
  <si>
    <t>μ Sco</t>
  </si>
  <si>
    <t>μ Σκορπιού. Διπλός</t>
  </si>
  <si>
    <t>μ Scorpius. Διπλός</t>
  </si>
  <si>
    <t>ν Sco</t>
  </si>
  <si>
    <t>ν Σκορπιού. Διπλός</t>
  </si>
  <si>
    <t>ν Scorpius. Διπλός</t>
  </si>
  <si>
    <t>π Sco</t>
  </si>
  <si>
    <t>π Σκορπιού</t>
  </si>
  <si>
    <t>π Scorpius</t>
  </si>
  <si>
    <t>σ Sco</t>
  </si>
  <si>
    <t>σ Σκορπιού</t>
  </si>
  <si>
    <t>σ Scorpius</t>
  </si>
  <si>
    <t>τ Sco</t>
  </si>
  <si>
    <t>τ Σκορπιού</t>
  </si>
  <si>
    <t>τ Scorpius</t>
  </si>
  <si>
    <t>υ Sco</t>
  </si>
  <si>
    <t>υ Σκορπιού</t>
  </si>
  <si>
    <t>υ Scorpius</t>
  </si>
  <si>
    <t>Grb</t>
  </si>
  <si>
    <t>Βόρειου Στεφάνου</t>
  </si>
  <si>
    <t>α crb</t>
  </si>
  <si>
    <t>α Βόρειου Στέφανου. Μαργαρίτης</t>
  </si>
  <si>
    <t>α Corona Borealis</t>
  </si>
  <si>
    <t>β crb</t>
  </si>
  <si>
    <t>β Βόρειου Στέφανου. Διπλός</t>
  </si>
  <si>
    <t>β Corona Borealis. Διπλός</t>
  </si>
  <si>
    <t>γ crb</t>
  </si>
  <si>
    <t>γ Βόρειου Στέφανου.</t>
  </si>
  <si>
    <t>γ Corona Borealis</t>
  </si>
  <si>
    <t>δ crb</t>
  </si>
  <si>
    <t>δ Βόρειου Στέφανου.</t>
  </si>
  <si>
    <t>δ Corona Borealis</t>
  </si>
  <si>
    <t>ε crb</t>
  </si>
  <si>
    <t>ε Βόρειου Στέφανου.</t>
  </si>
  <si>
    <t>ε Corona Borealis</t>
  </si>
  <si>
    <t>ζ1 crb</t>
  </si>
  <si>
    <t>ζ1 Βόρειου Στέφανου.</t>
  </si>
  <si>
    <t>ζ1 Corona Borealis</t>
  </si>
  <si>
    <t>θ crb</t>
  </si>
  <si>
    <t>θ Βόρειου Στέφανου.</t>
  </si>
  <si>
    <t>θ Corona Borealis</t>
  </si>
  <si>
    <t>ι crb</t>
  </si>
  <si>
    <t>ι Βόρειου Στέφανου.</t>
  </si>
  <si>
    <t>ι Corona Borealis</t>
  </si>
  <si>
    <t>κ crb</t>
  </si>
  <si>
    <t>κ Βόρειου Στέφανου.</t>
  </si>
  <si>
    <t>κ Corona Borealis</t>
  </si>
  <si>
    <t>π crb</t>
  </si>
  <si>
    <t>π Βόρειου Στέφανου.</t>
  </si>
  <si>
    <t>π Corona Borealis</t>
  </si>
  <si>
    <t>ρ crb</t>
  </si>
  <si>
    <t>ρ Βόρειου Στέφανου.</t>
  </si>
  <si>
    <t>ρ Corona Borealis</t>
  </si>
  <si>
    <t>σ crb</t>
  </si>
  <si>
    <t>σ Βόρειου Στέφανου. Διπλός</t>
  </si>
  <si>
    <t>σ Corona Borealis. Διπλός</t>
  </si>
  <si>
    <t>Cra</t>
  </si>
  <si>
    <t>Νότιου Στεφάνου</t>
  </si>
  <si>
    <t>α Cra</t>
  </si>
  <si>
    <t>α Νοτίου Στεφάνου</t>
  </si>
  <si>
    <t>α Corona Australis</t>
  </si>
  <si>
    <t>β Cra</t>
  </si>
  <si>
    <t>β Νοτίου Στεφάνου</t>
  </si>
  <si>
    <t>β Corona Australis</t>
  </si>
  <si>
    <t>γ Cra</t>
  </si>
  <si>
    <t>γ Νοτίου Στεφάνου</t>
  </si>
  <si>
    <t>γ Corona Australis</t>
  </si>
  <si>
    <t>Ταύρου</t>
  </si>
  <si>
    <t>α Tau</t>
  </si>
  <si>
    <t>α Ταύρου.Λαμπαδίας</t>
  </si>
  <si>
    <t>α Taurus. Aldebaran</t>
  </si>
  <si>
    <t>β Tau</t>
  </si>
  <si>
    <t>β Ταύρου. High proper motios star</t>
  </si>
  <si>
    <t>β Taurus. High proper motios star</t>
  </si>
  <si>
    <t>ζ Tau</t>
  </si>
  <si>
    <t>ζ Ταύρου</t>
  </si>
  <si>
    <t>ζ Taurus</t>
  </si>
  <si>
    <t>η Tau</t>
  </si>
  <si>
    <t>Αλκυόνη</t>
  </si>
  <si>
    <t>η Taurus</t>
  </si>
  <si>
    <t>λ Tau</t>
  </si>
  <si>
    <t>λ Ταύρου</t>
  </si>
  <si>
    <t>λ Taurus</t>
  </si>
  <si>
    <t>Τοξότου</t>
  </si>
  <si>
    <t>α Sgr</t>
  </si>
  <si>
    <t>α Τοξότου</t>
  </si>
  <si>
    <t>α Sagittarius</t>
  </si>
  <si>
    <t>β sgr</t>
  </si>
  <si>
    <t>β Τοξότου</t>
  </si>
  <si>
    <t>β Sagittarius</t>
  </si>
  <si>
    <t>γ Sgr</t>
  </si>
  <si>
    <t xml:space="preserve">γ Τοξότου. High proper motios star. </t>
  </si>
  <si>
    <t xml:space="preserve">γ Sagittarius. High proper motios star. </t>
  </si>
  <si>
    <t>δ Sgr</t>
  </si>
  <si>
    <t xml:space="preserve">δ Τοξότου. High proper motios star. </t>
  </si>
  <si>
    <t xml:space="preserve">δ Sagittarius. High proper motios star. </t>
  </si>
  <si>
    <t>ε Sgr</t>
  </si>
  <si>
    <t>ε Τοξότου. Διπλός</t>
  </si>
  <si>
    <t>ε Sagittarius. Διπλός</t>
  </si>
  <si>
    <t>ζ Sgr</t>
  </si>
  <si>
    <t>ζ Τοξότου. Διπλός</t>
  </si>
  <si>
    <t>ζ Sagittarius. Διπλός</t>
  </si>
  <si>
    <t>η Sgr</t>
  </si>
  <si>
    <t>η Τοξότου</t>
  </si>
  <si>
    <t>η Sagittarius</t>
  </si>
  <si>
    <t>λ Sgr</t>
  </si>
  <si>
    <t>λ Τοξότου</t>
  </si>
  <si>
    <t>λ Sagittarius</t>
  </si>
  <si>
    <t>ξ Sgr</t>
  </si>
  <si>
    <t>ξ Τοξότου</t>
  </si>
  <si>
    <t>ξ Sagittarius</t>
  </si>
  <si>
    <t>ο Sgr</t>
  </si>
  <si>
    <t>ο Τοξότου</t>
  </si>
  <si>
    <t>ο Sagittarius</t>
  </si>
  <si>
    <t>π Sgr</t>
  </si>
  <si>
    <t>π Τοξότου. Διπλός</t>
  </si>
  <si>
    <t>π Sagittarius. Διπλός</t>
  </si>
  <si>
    <t>σ Sgr</t>
  </si>
  <si>
    <t>σ Τοξότου</t>
  </si>
  <si>
    <t>σ Sagittarius</t>
  </si>
  <si>
    <t>τ Sgr</t>
  </si>
  <si>
    <t>τ Τοξότου</t>
  </si>
  <si>
    <t>τ Sagittarius</t>
  </si>
  <si>
    <t>φ Sgr</t>
  </si>
  <si>
    <t>φ Τοξότου</t>
  </si>
  <si>
    <t>φ Sagittarius</t>
  </si>
  <si>
    <t>Τριγώνου</t>
  </si>
  <si>
    <t>α Tri</t>
  </si>
  <si>
    <t>α Τριγώνου</t>
  </si>
  <si>
    <t>αTriangulum</t>
  </si>
  <si>
    <t>β Tri</t>
  </si>
  <si>
    <t>β Τριγώνου</t>
  </si>
  <si>
    <t>β Triangulum</t>
  </si>
  <si>
    <t>γ Tri</t>
  </si>
  <si>
    <t>γ Τριγώνου. High proper motios star</t>
  </si>
  <si>
    <t>γ Triangulum. High proper motios star</t>
  </si>
  <si>
    <t>Τροπίδος</t>
  </si>
  <si>
    <t>Υδροχόου</t>
  </si>
  <si>
    <t>α Aqr</t>
  </si>
  <si>
    <t>α Υδροχόου</t>
  </si>
  <si>
    <t>α Aquarius</t>
  </si>
  <si>
    <t>β Aqr</t>
  </si>
  <si>
    <t>β Υδροχόου</t>
  </si>
  <si>
    <t>β Aquarius</t>
  </si>
  <si>
    <t>γ Aqr</t>
  </si>
  <si>
    <t>γ Υδροχόου</t>
  </si>
  <si>
    <t>γ Aquarius</t>
  </si>
  <si>
    <t>δ Aqr</t>
  </si>
  <si>
    <t>δ Υδροχόου</t>
  </si>
  <si>
    <t>δ Aquarius</t>
  </si>
  <si>
    <t>ε Aqr</t>
  </si>
  <si>
    <t>ε Υδροχόου</t>
  </si>
  <si>
    <t>ε Aquarius</t>
  </si>
  <si>
    <t>ζ Aqr</t>
  </si>
  <si>
    <t>ζ Υδροχόου. Διπλός</t>
  </si>
  <si>
    <t>ζ Aquarius. Διπλός</t>
  </si>
  <si>
    <t>η Aqr</t>
  </si>
  <si>
    <t>η Υδροχόου</t>
  </si>
  <si>
    <t>η Aquarius</t>
  </si>
  <si>
    <t>θ Aqr</t>
  </si>
  <si>
    <t>θ Υδροχόου</t>
  </si>
  <si>
    <t>θ Aquarius</t>
  </si>
  <si>
    <t>κ Aqr</t>
  </si>
  <si>
    <t>κ Υδροχόου</t>
  </si>
  <si>
    <t>κ Aquarius</t>
  </si>
  <si>
    <t>λ Aqr</t>
  </si>
  <si>
    <t>λ Υδροχόου</t>
  </si>
  <si>
    <t>λ Aquarius</t>
  </si>
  <si>
    <t>ν Aqr</t>
  </si>
  <si>
    <t>ν Υδροχόου</t>
  </si>
  <si>
    <t>ν Aquarius</t>
  </si>
  <si>
    <t>π Aqr</t>
  </si>
  <si>
    <t>π Υδροχόου</t>
  </si>
  <si>
    <t>π Aquarius</t>
  </si>
  <si>
    <t>φ Aqr</t>
  </si>
  <si>
    <t>φ Υδροχόου</t>
  </si>
  <si>
    <t>φ Aquarius</t>
  </si>
  <si>
    <t>ψ1 Aqr</t>
  </si>
  <si>
    <t>ψ1 Υδροχόου. High proper motios star</t>
  </si>
  <si>
    <t>ψ1 Aquarius. High proper motios star</t>
  </si>
  <si>
    <t>ψ2 Aqr</t>
  </si>
  <si>
    <t>ψ2 Υδροχόου</t>
  </si>
  <si>
    <t>ψ2 Aquarius</t>
  </si>
  <si>
    <t>ω2 Aqr</t>
  </si>
  <si>
    <t>ω2 Υδροχόου</t>
  </si>
  <si>
    <t>ω2 Aquarius</t>
  </si>
  <si>
    <t>Ύδρας</t>
  </si>
  <si>
    <t>α Hya</t>
  </si>
  <si>
    <t>α Ύδρας</t>
  </si>
  <si>
    <t>α Hydra</t>
  </si>
  <si>
    <t>β Hya</t>
  </si>
  <si>
    <t>β Ύδρας</t>
  </si>
  <si>
    <t>β Hydra</t>
  </si>
  <si>
    <t>γ Hya</t>
  </si>
  <si>
    <t>γ Ύδρας</t>
  </si>
  <si>
    <t>γ Hydra</t>
  </si>
  <si>
    <t>δ Hya</t>
  </si>
  <si>
    <t>δ Ύδρας. Διπλός</t>
  </si>
  <si>
    <t>δ  Hydra. Διπλός</t>
  </si>
  <si>
    <t>ε Hya</t>
  </si>
  <si>
    <t>ε Ύδρας</t>
  </si>
  <si>
    <t>ε Hydra</t>
  </si>
  <si>
    <t>ζ Hya</t>
  </si>
  <si>
    <t>ζ  Ύδρας</t>
  </si>
  <si>
    <t>ζ Hydra</t>
  </si>
  <si>
    <t>θ Hya</t>
  </si>
  <si>
    <t>θ  Ύδρας</t>
  </si>
  <si>
    <t>θ Hydra</t>
  </si>
  <si>
    <t>ι Hya</t>
  </si>
  <si>
    <t>ι  Ύδρας</t>
  </si>
  <si>
    <t>ι Hydra</t>
  </si>
  <si>
    <t>λ Hya</t>
  </si>
  <si>
    <t>λ  Ύδρας</t>
  </si>
  <si>
    <t>λ Hydra</t>
  </si>
  <si>
    <t>μ hya</t>
  </si>
  <si>
    <t>μ  Ύδρας</t>
  </si>
  <si>
    <t>μ Hydra</t>
  </si>
  <si>
    <t>ν Hya</t>
  </si>
  <si>
    <t>ν  Ύδρας</t>
  </si>
  <si>
    <t>ν Hydra</t>
  </si>
  <si>
    <t>ξ Hya</t>
  </si>
  <si>
    <t>ξ  Ύδρας</t>
  </si>
  <si>
    <t>ξ Hydra</t>
  </si>
  <si>
    <t>π Hya</t>
  </si>
  <si>
    <t>π Ύδρας</t>
  </si>
  <si>
    <t>π Hydra</t>
  </si>
  <si>
    <t>τ2 hya</t>
  </si>
  <si>
    <t>Ύδρα τ2</t>
  </si>
  <si>
    <t>τ2 Hydra</t>
  </si>
  <si>
    <t>υ Hya</t>
  </si>
  <si>
    <t>υ Ύδρας</t>
  </si>
  <si>
    <t>υ Hydra</t>
  </si>
  <si>
    <t>υ1 Hya</t>
  </si>
  <si>
    <t>υ1 Ύδρας</t>
  </si>
  <si>
    <t>υ1 Hydra</t>
  </si>
  <si>
    <t>ψ Hya</t>
  </si>
  <si>
    <t>ψ Ύδρας</t>
  </si>
  <si>
    <t>ψ Hydra</t>
  </si>
  <si>
    <t>Φοίνικος</t>
  </si>
  <si>
    <t>Phoexix</t>
  </si>
  <si>
    <t>HD</t>
  </si>
  <si>
    <t xml:space="preserve">      HD</t>
  </si>
  <si>
    <t>HD 81817</t>
  </si>
  <si>
    <t>HD 106112</t>
  </si>
  <si>
    <t>HD 139691</t>
  </si>
  <si>
    <t>Διπλός!</t>
  </si>
  <si>
    <t>HD 136176</t>
  </si>
  <si>
    <t>HD 142742</t>
  </si>
  <si>
    <t>ω 081817</t>
  </si>
  <si>
    <t>ω 106112</t>
  </si>
  <si>
    <t>ω 136176</t>
  </si>
  <si>
    <t>ω 139691</t>
  </si>
  <si>
    <t>ω 142742</t>
  </si>
  <si>
    <t>Ωρίωνος</t>
  </si>
  <si>
    <t>α Ori</t>
  </si>
  <si>
    <t>α Ωρίωνος.Betelgeuez</t>
  </si>
  <si>
    <t>α Orion.Betelgeuez</t>
  </si>
  <si>
    <t>β Ori</t>
  </si>
  <si>
    <t>β Ωρίωνος.Rigel Διπλός</t>
  </si>
  <si>
    <t>β Orion.Rigel Διπλός</t>
  </si>
  <si>
    <t>γ Ori</t>
  </si>
  <si>
    <t>γ Ωρίωνος</t>
  </si>
  <si>
    <t>γ Orion</t>
  </si>
  <si>
    <t>δ Ori</t>
  </si>
  <si>
    <t>δ Ωρίωνος. Διπλός</t>
  </si>
  <si>
    <t>δ Orion. Διπλός</t>
  </si>
  <si>
    <t>ε Ori</t>
  </si>
  <si>
    <t>ε Ωρίωνος</t>
  </si>
  <si>
    <t>ε Orion</t>
  </si>
  <si>
    <t>ζ Ori</t>
  </si>
  <si>
    <t>ζ Ωρίωνος. Διπλός</t>
  </si>
  <si>
    <t>ζ Orion. Διπλός</t>
  </si>
  <si>
    <t>η Ori</t>
  </si>
  <si>
    <t>η Ωρίωνος</t>
  </si>
  <si>
    <t>η Orion</t>
  </si>
  <si>
    <t>θ Ori</t>
  </si>
  <si>
    <t>θ Ωρίωνος. Τετραπλός</t>
  </si>
  <si>
    <t>θ Orion. Τετραπλός</t>
  </si>
  <si>
    <t>κ Ori</t>
  </si>
  <si>
    <t>κ Ωρίωνος</t>
  </si>
  <si>
    <t>κ Orion</t>
  </si>
  <si>
    <t>λ Ori</t>
  </si>
  <si>
    <t>λ Ωρίωνος. Διπλός</t>
  </si>
  <si>
    <t>λ Orion. Διπλός</t>
  </si>
  <si>
    <t>σ Ori</t>
  </si>
  <si>
    <t>σ Ωρίωνος. Τετραπλός</t>
  </si>
  <si>
    <t>σ Orion. Τετραπλός</t>
  </si>
  <si>
    <t>"Αστερισμός "</t>
  </si>
  <si>
    <t>ωσο α</t>
  </si>
  <si>
    <t>ωσο β</t>
  </si>
  <si>
    <t>ωσο γ</t>
  </si>
  <si>
    <t>ωσο δ</t>
  </si>
  <si>
    <t>ωσο ε</t>
  </si>
  <si>
    <t>ωωχ α</t>
  </si>
  <si>
    <t>Ορθή Αναφορά&gt;24</t>
  </si>
  <si>
    <t>ωωχ β</t>
  </si>
  <si>
    <t>Ορθή Αναφορά&lt;0</t>
  </si>
  <si>
    <t>ωωχ γ</t>
  </si>
  <si>
    <t>Απόκλιση&gt;90</t>
  </si>
  <si>
    <t>ωωχ δ</t>
  </si>
  <si>
    <t>Απόκλιση&lt;-90</t>
  </si>
  <si>
    <t>ωωχ ε</t>
  </si>
  <si>
    <t>Διαφορετικά πρόσημα</t>
  </si>
  <si>
    <t>στην Απόκλιση</t>
  </si>
  <si>
    <t>ωωχ ζ</t>
  </si>
  <si>
    <t>ωωχ η</t>
  </si>
  <si>
    <t>ωωχ θ</t>
  </si>
  <si>
    <t>στην Ορθή Αναφορά</t>
  </si>
  <si>
    <t>ωωχ ι</t>
  </si>
  <si>
    <t>ωωχ κ</t>
  </si>
  <si>
    <t>ωωχ λ</t>
  </si>
  <si>
    <t>Πλήθος Λαθών</t>
  </si>
  <si>
    <t>στον κατάλογο</t>
  </si>
  <si>
    <t>ωωχ μ</t>
  </si>
  <si>
    <t>κλ</t>
  </si>
  <si>
    <t>γράμματα στην ΟΑ</t>
  </si>
  <si>
    <t>ωωχ ν</t>
  </si>
  <si>
    <t>αρχή</t>
  </si>
  <si>
    <t>γράμματα στην Απόκλιση</t>
  </si>
  <si>
    <t>γράμματα στην Απ'οκλιση</t>
  </si>
  <si>
    <t>Να μην γραφτεί τίποτα</t>
  </si>
  <si>
    <t>1) Δεν υπάρχει καταχώριση.</t>
  </si>
  <si>
    <t>2) Ελέγξτε την πληκτρολόγηση σας.</t>
  </si>
  <si>
    <t>Μη αναγνωρίσιμοι χαρακτήρες</t>
  </si>
  <si>
    <t>Πληκτρολογήσατε αριθμό</t>
  </si>
  <si>
    <t>Γυρίστε το πληκτρολόγιο στα Ελληνικά!</t>
  </si>
  <si>
    <t>Τέλος καταλόγου</t>
  </si>
  <si>
    <t>Προσοχή!!! Να μην γραφτεί τίποτα από εδώ και κάτω.</t>
  </si>
  <si>
    <t>1) Ελέγξτε την πληκτρολόγηση</t>
  </si>
  <si>
    <t>2) Δεν υπάρχει καταχώρηση</t>
  </si>
  <si>
    <t>Μητρική Οθόνη</t>
  </si>
  <si>
    <t>ΑΖΙΜΟΥΘΙΟ</t>
  </si>
  <si>
    <t>ΥΨΟΣ</t>
  </si>
  <si>
    <t>,</t>
  </si>
  <si>
    <t>Enter</t>
  </si>
  <si>
    <t>Απόκλιση</t>
  </si>
  <si>
    <t>Αστερισμός (Ολογράφως)</t>
  </si>
  <si>
    <t xml:space="preserve">          Constelatio</t>
  </si>
  <si>
    <r>
      <t xml:space="preserve">α β γ δ ε ζ η θ  </t>
    </r>
    <r>
      <rPr>
        <sz val="11"/>
        <color theme="9" tint="-0.249977111117893"/>
        <rFont val="Times New Roman"/>
        <family val="1"/>
        <charset val="161"/>
      </rPr>
      <t>(Σχόλιο)</t>
    </r>
  </si>
  <si>
    <r>
      <t xml:space="preserve">ι κ λ μ ν ξ ο π </t>
    </r>
    <r>
      <rPr>
        <sz val="11"/>
        <color theme="9" tint="-0.249977111117893"/>
        <rFont val="Times New Roman"/>
        <family val="1"/>
        <charset val="161"/>
      </rPr>
      <t xml:space="preserve"> (Σχόλιο)</t>
    </r>
    <r>
      <rPr>
        <b/>
        <sz val="11"/>
        <color theme="9" tint="-0.249977111117893"/>
        <rFont val="Times New Roman"/>
        <family val="1"/>
        <charset val="161"/>
      </rPr>
      <t xml:space="preserve"> </t>
    </r>
  </si>
  <si>
    <r>
      <t xml:space="preserve">ρ σ τ υ φ χ ψ ω </t>
    </r>
    <r>
      <rPr>
        <sz val="11"/>
        <color theme="9" tint="-0.249977111117893"/>
        <rFont val="Times New Roman"/>
        <family val="1"/>
        <charset val="161"/>
      </rPr>
      <t>(Σχόλιο)</t>
    </r>
    <r>
      <rPr>
        <b/>
        <sz val="11"/>
        <color theme="9" tint="-0.249977111117893"/>
        <rFont val="Times New Roman"/>
        <family val="1"/>
        <charset val="161"/>
      </rPr>
      <t xml:space="preserve"> </t>
    </r>
  </si>
  <si>
    <t>Σύμβολο</t>
  </si>
  <si>
    <t>Ελληνικό</t>
  </si>
  <si>
    <t>Λατινικό</t>
  </si>
  <si>
    <t>Όνομα αντικειμένου</t>
  </si>
  <si>
    <r>
      <rPr>
        <b/>
        <sz val="11"/>
        <color rgb="FF00B050"/>
        <rFont val="Times New Roman"/>
        <family val="1"/>
        <charset val="161"/>
      </rPr>
      <t xml:space="preserve">Για την θερινή Ώρα πληκτρολογούμε </t>
    </r>
    <r>
      <rPr>
        <b/>
        <sz val="11"/>
        <color rgb="FFFF0000"/>
        <rFont val="Times New Roman"/>
        <family val="1"/>
        <charset val="161"/>
      </rPr>
      <t>-1</t>
    </r>
  </si>
  <si>
    <r>
      <rPr>
        <b/>
        <sz val="11"/>
        <color rgb="FF00B050"/>
        <rFont val="Times New Roman"/>
        <family val="1"/>
        <charset val="161"/>
      </rPr>
      <t>Για την Ώρα Ελλάδος</t>
    </r>
    <r>
      <rPr>
        <b/>
        <sz val="11"/>
        <color rgb="FFFF0000"/>
        <rFont val="Times New Roman"/>
        <family val="1"/>
        <charset val="161"/>
      </rPr>
      <t xml:space="preserve"> 0</t>
    </r>
  </si>
  <si>
    <t>Δευτερόλεπτα</t>
  </si>
  <si>
    <t>Μοίρες -ώρες</t>
  </si>
  <si>
    <t>αν τα γκρι &lt;0 ; 0 ; 1</t>
  </si>
  <si>
    <t>άθροισμα</t>
  </si>
  <si>
    <t>αν τα γκρι &gt;0 ; 0 ; 1</t>
  </si>
  <si>
    <t>αν πρώτο άθροισμα = 3 ; 1 ; 0</t>
  </si>
  <si>
    <t>αν δεύτερο άθροισμα = 3 ; 1 ; 0</t>
  </si>
  <si>
    <t>άθροισμα των δύο επάνω</t>
  </si>
  <si>
    <t>Δευτερόλεπτα /60</t>
  </si>
  <si>
    <t xml:space="preserve">το επάνω + λεπτα / 60 </t>
  </si>
  <si>
    <t xml:space="preserve">το επάνω + ώρες    </t>
  </si>
  <si>
    <t xml:space="preserve"> Βρέθηκαν γράμματα</t>
  </si>
  <si>
    <t>Βρεθήκαν διαφορετικά πρόσημα</t>
  </si>
  <si>
    <t>Έχει μεγαλύτερη τιμή του 24</t>
  </si>
  <si>
    <t>Έχει μεγαλύτερη τιμή του 90</t>
  </si>
  <si>
    <t>Είναι αρνητική τιμή</t>
  </si>
  <si>
    <t>Έχει μικρότερη τιμή του -90</t>
  </si>
  <si>
    <t>Άθροισμα</t>
  </si>
  <si>
    <t xml:space="preserve"> Πολλά λάθη</t>
  </si>
  <si>
    <t>Μετατροπή Μοιρών-Ωρών στο δεκαδικό σύστημα &amp; αρίθμηση λαθών καταχώρησης</t>
  </si>
  <si>
    <t>Λαθών Ορθής Αναφοράς</t>
  </si>
  <si>
    <t>Λαθών Απόκλισης</t>
  </si>
  <si>
    <t>Άθροισμα λαθών συνολικό</t>
  </si>
  <si>
    <t xml:space="preserve">Ορθή αναφορά </t>
  </si>
  <si>
    <t>Λάθη ΟΑ</t>
  </si>
  <si>
    <t>Λάθη Απόκλισης</t>
  </si>
  <si>
    <t>έξοδος για μητρική οθόνη</t>
  </si>
  <si>
    <t>Ορθή αναφορά</t>
  </si>
  <si>
    <t>Άθροισμα ΟΑ</t>
  </si>
  <si>
    <t>Λάθος Καταχώρηση στην ΟΑ!!!</t>
  </si>
  <si>
    <t xml:space="preserve">Λάθος Καταχώρηση στην Απόκλιση!!! </t>
  </si>
  <si>
    <t xml:space="preserve"> Πολλά λάθη!!!</t>
  </si>
  <si>
    <t>Επιλογή Οθόνης</t>
  </si>
  <si>
    <r>
      <t>Νυχτερινή Οθόνη (</t>
    </r>
    <r>
      <rPr>
        <sz val="11"/>
        <color rgb="FFFF0000"/>
        <rFont val="Times New Roman"/>
        <family val="1"/>
        <charset val="161"/>
      </rPr>
      <t>1</t>
    </r>
    <r>
      <rPr>
        <sz val="11"/>
        <color rgb="FF00B050"/>
        <rFont val="Times New Roman"/>
        <family val="1"/>
        <charset val="161"/>
      </rPr>
      <t>)</t>
    </r>
  </si>
  <si>
    <r>
      <t>Νυχτερινή Οθόνη (</t>
    </r>
    <r>
      <rPr>
        <sz val="11"/>
        <color rgb="FFFF0000"/>
        <rFont val="Times New Roman"/>
        <family val="1"/>
        <charset val="161"/>
      </rPr>
      <t>2</t>
    </r>
    <r>
      <rPr>
        <sz val="11"/>
        <color rgb="FF00B050"/>
        <rFont val="Times New Roman"/>
        <family val="1"/>
        <charset val="161"/>
      </rPr>
      <t>)</t>
    </r>
  </si>
  <si>
    <r>
      <t>Οθόνη προγραμματισμού (</t>
    </r>
    <r>
      <rPr>
        <sz val="11"/>
        <color rgb="FFFF0000"/>
        <rFont val="Times New Roman"/>
        <family val="1"/>
        <charset val="161"/>
      </rPr>
      <t>4</t>
    </r>
    <r>
      <rPr>
        <sz val="11"/>
        <color rgb="FF00B050"/>
        <rFont val="Times New Roman"/>
        <family val="1"/>
        <charset val="161"/>
      </rPr>
      <t>)</t>
    </r>
  </si>
  <si>
    <t>Για την επιλογή της οθόνης πληκτρολογήστε τον αριθμό εντός της παρένθεσης</t>
  </si>
  <si>
    <t>Εnter</t>
  </si>
  <si>
    <t>Ενεργή οθόνη</t>
  </si>
  <si>
    <t>Αδρανής Οθόνη</t>
  </si>
  <si>
    <t>Έτος</t>
  </si>
  <si>
    <t>Μήνας</t>
  </si>
  <si>
    <t xml:space="preserve">Ημέρα </t>
  </si>
  <si>
    <t>Ώρα</t>
  </si>
  <si>
    <t>Είσοδος ημερομηνίας - ώρας από τον υπολογιστή</t>
  </si>
  <si>
    <t>Λογισμικό επιλογής Οθονών</t>
  </si>
  <si>
    <t>isnumber</t>
  </si>
  <si>
    <t>Πληκτρολογήστε μόνο τους αριθμούς 1, 2, και 4</t>
  </si>
  <si>
    <t>Μην γράφεται εδώ!</t>
  </si>
  <si>
    <t>έξοδος</t>
  </si>
  <si>
    <t>Γεωγραφικό Πλάτος</t>
  </si>
  <si>
    <t>Έτος............</t>
  </si>
  <si>
    <t>Γεω μήκος...........</t>
  </si>
  <si>
    <t>Μήνας...........</t>
  </si>
  <si>
    <t>Ημέρα.................</t>
  </si>
  <si>
    <t>Ώρα................</t>
  </si>
  <si>
    <t xml:space="preserve">Λεπτά.............. </t>
  </si>
  <si>
    <t>Θερινή Ώρα -1, ,ώρα Ελλάδος 0</t>
  </si>
  <si>
    <r>
      <t>Οθόνη προγραμματισμού (</t>
    </r>
    <r>
      <rPr>
        <b/>
        <sz val="11"/>
        <color rgb="FFFF0000"/>
        <rFont val="Times New Roman"/>
        <family val="1"/>
        <charset val="161"/>
      </rPr>
      <t>4</t>
    </r>
    <r>
      <rPr>
        <sz val="11"/>
        <color rgb="FF00B050"/>
        <rFont val="Times New Roman"/>
        <family val="1"/>
        <charset val="161"/>
      </rPr>
      <t>)</t>
    </r>
  </si>
  <si>
    <t>Νυχτερινή Οθόνη (1)</t>
  </si>
  <si>
    <t>Νυχτερινή Οθόνη (2)</t>
  </si>
  <si>
    <t>Οθόνη προγραμματισμού (4)</t>
  </si>
  <si>
    <t>Οθόνες</t>
  </si>
  <si>
    <t>Θερινή &amp;</t>
  </si>
  <si>
    <t>Κανονική</t>
  </si>
  <si>
    <t>Γεωγρ</t>
  </si>
  <si>
    <t>Πλάτος</t>
  </si>
  <si>
    <t>Μήκος</t>
  </si>
  <si>
    <t>Γεωγραφικό Μήκος</t>
  </si>
  <si>
    <t>Γεωγ πλάτος</t>
  </si>
  <si>
    <t>Ημέρα</t>
  </si>
  <si>
    <t>Αστερισμ</t>
  </si>
  <si>
    <t>Υπολογισμός του σημείου γ και τις ωριαίας γωνίας</t>
  </si>
  <si>
    <t>Υπολογισμός του Αζιμούθιου και του Ύψους</t>
  </si>
  <si>
    <t>Τροπικό έτος</t>
  </si>
  <si>
    <t>Αστέρας HD 224700</t>
  </si>
  <si>
    <t>Αρχικά δεδομένα.</t>
  </si>
  <si>
    <t>Δεδομένα</t>
  </si>
  <si>
    <t>εκλειπτικής με τον ουράνιο ισημερινό.</t>
  </si>
  <si>
    <t>Το άστρο μεσουράνησε την</t>
  </si>
  <si>
    <t>Κεντρική είσοδος Δεδομένων του προγράμματος</t>
  </si>
  <si>
    <t>Τροπικό έτος είναι ο χρόνος εκφρασμένος σε</t>
  </si>
  <si>
    <t>1-1-2000 σε Γεωγραφικό</t>
  </si>
  <si>
    <t>Μεσουράνηση</t>
  </si>
  <si>
    <t xml:space="preserve">Ηλιακές ημέρες που χρειάζεται η Γή για να διέλθει </t>
  </si>
  <si>
    <t xml:space="preserve">Μήκος 30 Ανατολικά. </t>
  </si>
  <si>
    <t>Χρόνος</t>
  </si>
  <si>
    <t>επάνω αστέρι του οποίου η</t>
  </si>
  <si>
    <t>Μήνα</t>
  </si>
  <si>
    <t>Τιμή για το 2000………………………………….</t>
  </si>
  <si>
    <t>Χρόνος Μήνα</t>
  </si>
  <si>
    <t>Τιμή μετάπτωσης ανά έτος 50΄΄,26</t>
  </si>
  <si>
    <t>διαφέρει από το 0</t>
  </si>
  <si>
    <t>Κύκλος σε δευτερόλεπτα της μοίρας…………</t>
  </si>
  <si>
    <t>Ορθή Αναφορά αστέρα ή άλλου αντικειμένου</t>
  </si>
  <si>
    <t>Αστρικό Έτος</t>
  </si>
  <si>
    <t>Γεωγραφικό Μήκος Στρογγύλης</t>
  </si>
  <si>
    <t>Ή Γή επάνω στην τροχιά της, δεν</t>
  </si>
  <si>
    <t>συμπληρώνει σε ένα τροπικό έτος</t>
  </si>
  <si>
    <t>μία πλήρη περιστροφή. Λόγο της</t>
  </si>
  <si>
    <t>αν το επάνω&lt;2000 ; 0 ; Το επάνω</t>
  </si>
  <si>
    <t>μετάπτωσης υπολείπονται 50΄΄,26 της μοίρας.</t>
  </si>
  <si>
    <t>αν το επάνω &gt;2040 ; 0 ; Το επάνω                           Έξοδος</t>
  </si>
  <si>
    <t>Αν θεωρήσουμε τα άστρα ως ακίνητα</t>
  </si>
  <si>
    <t>και με μια ευθεία ενώσουμε το άστρο</t>
  </si>
  <si>
    <t>αν το επάνω = 0 ; Το επάνω μήνημα</t>
  </si>
  <si>
    <t>με το κέντρο της τροχιά της Γης, τότε</t>
  </si>
  <si>
    <t>αν έξοδος = 0 ; 1 ; 0</t>
  </si>
  <si>
    <t>αυτή η ευθεία θα τέμνει σε ένα σημείο</t>
  </si>
  <si>
    <t xml:space="preserve">Ώρα Ελλάδος - Θερινή </t>
  </si>
  <si>
    <t xml:space="preserve">την τροχιά της. </t>
  </si>
  <si>
    <t>εκφρασμένος σε Ηλιακές ημέρες, που</t>
  </si>
  <si>
    <t>χρειάζεται η Γη για να ξανά περάσει</t>
  </si>
  <si>
    <t>Μήνας 3 τελειώνει</t>
  </si>
  <si>
    <t>Αν Isnumber = False ; 1 ; 0</t>
  </si>
  <si>
    <t>από το ίδιο σημείο της τροχιάς της.</t>
  </si>
  <si>
    <t>Μήνας 4 τελειώνει</t>
  </si>
  <si>
    <t>Πληκτρολογήθηκαν μη αποδεκτοί χαρακτήρες.</t>
  </si>
  <si>
    <t>Αν λοιπόν το τροπικό έτος μας δίνει</t>
  </si>
  <si>
    <t>Μήνας 5 τελειώνει</t>
  </si>
  <si>
    <t>Αν Isnumber = False  ; 30 ; Είσοδος</t>
  </si>
  <si>
    <t>τις ημέρες που λόγο της μετάπτωσης</t>
  </si>
  <si>
    <t>Μήνας 6 τελειώνει</t>
  </si>
  <si>
    <t>αν είσοδος &lt;19 ; 0 ; Είσοδος</t>
  </si>
  <si>
    <t xml:space="preserve">η Γή καλύπτει τμήμα της τροχιάς της, </t>
  </si>
  <si>
    <t>Μήνας 7 τελειώνει</t>
  </si>
  <si>
    <t>αν το επάνω &gt;30 ; 0 ; Το επάνω                           Έξοδος</t>
  </si>
  <si>
    <t>πόσες ημέρες θα έχουμε όταν την κάνει</t>
  </si>
  <si>
    <t>Μήνας 8 τελειώνει</t>
  </si>
  <si>
    <t>Ελέγξτε το γεωγραφικό μήκος που δώσατε!</t>
  </si>
  <si>
    <t>ολόκληρη την τροχιά της;</t>
  </si>
  <si>
    <t>Μήνας 9 τελειώνει</t>
  </si>
  <si>
    <t xml:space="preserve">Με τα παραπάνω αριθμητικά δεδομένα    </t>
  </si>
  <si>
    <t>Μήνας 10 τελειώνει</t>
  </si>
  <si>
    <t>υπολόγισα</t>
  </si>
  <si>
    <t>Προηγούμενος μήνας = Μήνας - 1</t>
  </si>
  <si>
    <t xml:space="preserve">Από την Νήσο Οθονοί, Δυτικά της Κέρκυρας, έως και το νησάκι </t>
  </si>
  <si>
    <t>την τιμή του Αστρικού έτους.</t>
  </si>
  <si>
    <t>Στρογγυλή, Ανατολικά από το Καστελόριζο.</t>
  </si>
  <si>
    <t>Συντελεστής</t>
  </si>
  <si>
    <t>Ώρα Ελλάδος = θερινή Ώρα  -1</t>
  </si>
  <si>
    <t>Συντελεστή ορίζω τον αριθμό εκείνο</t>
  </si>
  <si>
    <t>αν Ώρα Ελλάδος = -1 ; 23 ; Ώρα Ελλάδος</t>
  </si>
  <si>
    <t>30 - Γεωγραφικό Μήκος τόπου παρατήρησης</t>
  </si>
  <si>
    <t xml:space="preserve">τον οποίο αν τον αφαιρέσω από την ώρα </t>
  </si>
  <si>
    <t>Το επάνω / 15</t>
  </si>
  <si>
    <t>της σημερινής μεσουράνησης  ενός αστέρα,</t>
  </si>
  <si>
    <t>αν Ώρα Ελλάδος = -1 ; -1 ; 0</t>
  </si>
  <si>
    <t>θα προβλέψω την αυριανή.</t>
  </si>
  <si>
    <t>το επάνω + ημέρα</t>
  </si>
  <si>
    <t>το ροζ - το επάνω</t>
  </si>
  <si>
    <t>Για τον υπολογισμό του θεωρώ την</t>
  </si>
  <si>
    <t>αν θερινή ώρα = -1 ; 1 ; 0</t>
  </si>
  <si>
    <t xml:space="preserve"> Χρόνος μήνα - το επάνω</t>
  </si>
  <si>
    <t>τροχιά της Γης "κύκλο" που αντί να</t>
  </si>
  <si>
    <t>αν ημέρα μήνα = 1 ; 1 ;0</t>
  </si>
  <si>
    <t>Ημερομηνία -1 (μέρες που πέρασαν από την 1 του μήνα)</t>
  </si>
  <si>
    <t>τον βαθμονομήσω σε 360 μοίρες τον</t>
  </si>
  <si>
    <t xml:space="preserve">Το επάνω * Συντελεστή </t>
  </si>
  <si>
    <t xml:space="preserve"> βαθμονομώ σε 24 ώρες.</t>
  </si>
  <si>
    <t>Το Χακί + το επάνω</t>
  </si>
  <si>
    <t>24/αστρικές ημέρες αστρικού έτους</t>
  </si>
  <si>
    <t>24/366,256357607202</t>
  </si>
  <si>
    <t>24 - συντελεστής</t>
  </si>
  <si>
    <t>Συντελεστής    =………………………..</t>
  </si>
  <si>
    <t>αν άθροισμα = 2 ; Ημέρα προηγούμενου μήνα</t>
  </si>
  <si>
    <t>Αν το κρί &lt;0;το επάνω ; 0</t>
  </si>
  <si>
    <t>Έξοδος προς το πρόγραμμα</t>
  </si>
  <si>
    <t>έξοδος ημέρα</t>
  </si>
  <si>
    <t>Υπολογισμός της Ωριαίας γωνίας του ουράνιου</t>
  </si>
  <si>
    <t xml:space="preserve">Μεσημβρινού την ώρα της παρατήρησης. </t>
  </si>
  <si>
    <t>αν ημέρα μήνα = 1 ; 1 ; 0</t>
  </si>
  <si>
    <t xml:space="preserve">Ώρα </t>
  </si>
  <si>
    <t>Το επάνω - το πράσινο</t>
  </si>
  <si>
    <t xml:space="preserve">Αν το Κίτρινο &lt;0 ; 2 ; 1 </t>
  </si>
  <si>
    <t>αν άθροισμα = 2 ; Ο προηγούμενος μήνας ; Ο τρέχον</t>
  </si>
  <si>
    <t>το κίτρινο + 24</t>
  </si>
  <si>
    <t xml:space="preserve">Πίνακας εξόδου </t>
  </si>
  <si>
    <t>το κίτρινο * (4/1440)</t>
  </si>
  <si>
    <t>Το επάνω + το γκρί</t>
  </si>
  <si>
    <t>Ωριαία γωνία του ουράνιου μεσημβρινού</t>
  </si>
  <si>
    <t>Υπολογισμός της Ωριαίας γωνίας του αστέρα</t>
  </si>
  <si>
    <t>ωριαία γωνία του ουράνιου μεσημβρινού - το επάνω</t>
  </si>
  <si>
    <t>Μετατροπή ώρας στο δεκαδικό σύστημα</t>
  </si>
  <si>
    <t>24 + το επάνω</t>
  </si>
  <si>
    <t>δευτερόλεπτα/60</t>
  </si>
  <si>
    <t>αν μωβ&lt;0;κίτρινο;μωβ</t>
  </si>
  <si>
    <t>(λεπτά + το επάνω)/60</t>
  </si>
  <si>
    <t>Ώρες + το επάνω</t>
  </si>
  <si>
    <t>Πίνακας εξόδου προς το πρόγραμμα</t>
  </si>
  <si>
    <t>και άλλα προγράμματα</t>
  </si>
  <si>
    <t xml:space="preserve">           Εξοδος Προς Μητρική οθόνη</t>
  </si>
  <si>
    <t>σύμπτυξη μηνυμάτων σε ένα κελί</t>
  </si>
  <si>
    <t>Μόνο από 19 έως 30 μοίρες Ανατολικά.</t>
  </si>
  <si>
    <t>είσοδος</t>
  </si>
  <si>
    <t xml:space="preserve">Θερινή </t>
  </si>
  <si>
    <t>Ώρα Ελλάδος</t>
  </si>
  <si>
    <t xml:space="preserve">                                                                                                           ΑΖΙΜΟΥΘΙΟ</t>
  </si>
  <si>
    <t xml:space="preserve">                                                                                            ΎΨΟΣ</t>
  </si>
  <si>
    <t xml:space="preserve">                                                                                          Κείμενα</t>
  </si>
  <si>
    <t xml:space="preserve">Γεωγραφικό πλάτος </t>
  </si>
  <si>
    <t>Ωριαία γωνία (φ)</t>
  </si>
  <si>
    <t>αν Γεωγραφικό πλάτος =0 ; 0,000000001 ; Γεωγραφικό πλάτος</t>
  </si>
  <si>
    <t>Εύρεση ημιτόνων - συνημίτονων των δεδομένων</t>
  </si>
  <si>
    <t xml:space="preserve">ημίτονο Γεωγραφικού Πλάτους </t>
  </si>
  <si>
    <t>συνημίτονο Γεωγραφικού πλάτους</t>
  </si>
  <si>
    <t>ημίτονο απόκλισης αστέρα</t>
  </si>
  <si>
    <t>συνημίτονο απόκλισης αστέρα</t>
  </si>
  <si>
    <t>ημίτονο ωριαίας γωνίας (φ)</t>
  </si>
  <si>
    <t>συνημίτονο ωριαίας γωνίας (φ)</t>
  </si>
  <si>
    <t>ΚΩ = ημίτονο απόκλισης αστέρα * συνημίτονο γεωγραφικού πλάτους</t>
  </si>
  <si>
    <t>ΕΔ = ημ Γεωγραφικού πλάτους * συν ωριαίας γωνίας</t>
  </si>
  <si>
    <t>ΛΔ = ημίτονο ωριαίας γωνίας * συνημίτονο απόκλισης.</t>
  </si>
  <si>
    <t>ΚΛ = ΕΔ * συνιμήτονο απόκλισης.</t>
  </si>
  <si>
    <t xml:space="preserve">ΔΩ = τετραγωνική ρίζα του αθροίσματος (ΛΩ^2 + ΛΔ^2) (Πυθαγόρειο θεώρημα) </t>
  </si>
  <si>
    <t>Ημ ω = ΛΔ / ΔΩ</t>
  </si>
  <si>
    <t>ΖΩΝΕΣ ΤΟΥ ΑΖΙΜΟΥΘΙΟΥ</t>
  </si>
  <si>
    <t>αν απόκλιση &lt;0 ; -1000 ; απόκλιση</t>
  </si>
  <si>
    <t>το επάνω *(-1)</t>
  </si>
  <si>
    <t>το επάνω + 360</t>
  </si>
  <si>
    <t>αν η ωριαία γωνία &gt;180 ; Το κίκτρινο ; Το μωβ</t>
  </si>
  <si>
    <t>Γεωγραφικό Πλάτος *-(1)</t>
  </si>
  <si>
    <t>αν απόκλιση&gt; από το επάνω ; Απόκλιση ; 1000</t>
  </si>
  <si>
    <t xml:space="preserve">αν το επάνω &lt;του γεωγραφικού πλάτους ;  2 ; 0 </t>
  </si>
  <si>
    <t>αν το επάνω &gt;1 ; 1 ; 0</t>
  </si>
  <si>
    <t>αν &lt;-1 ; 1 ; 0</t>
  </si>
  <si>
    <t>αν άθροισμα = 0 ; συν ΤΔ ; 0</t>
  </si>
  <si>
    <t>180 + ω</t>
  </si>
  <si>
    <t>360 - ω</t>
  </si>
  <si>
    <t>αν ωριαία γωνία &lt; Τδ ; Το κίκτρινο ; Το μωβ</t>
  </si>
  <si>
    <t>το επάνω - 360</t>
  </si>
  <si>
    <t>αν απόκλιση &lt;0 ; Απόκλιση ; 0</t>
  </si>
  <si>
    <t>180 +το επάνω</t>
  </si>
  <si>
    <t>ακολουθεί η Lookup με είσοδο το επάνω άθροισμα.</t>
  </si>
  <si>
    <t>Αποτέλεσμα Ζώνης</t>
  </si>
  <si>
    <t>Ζώνη</t>
  </si>
  <si>
    <t>Υπολογισμός Ύψους</t>
  </si>
  <si>
    <t>ΘΚ= ημίτονο απόκλισης *ημίτονο Γεωγραφικού Πλάτους.</t>
  </si>
  <si>
    <t xml:space="preserve">ΕΘ = Συνημίτονο Γεωγραφικού Πλάτους * συνημίτονο ωριαίας γωνίας * συνημίτονο απόκλισης. </t>
  </si>
  <si>
    <t>αν ύψος &lt;0 ; Το επάνω ; ""</t>
  </si>
  <si>
    <t>άθροισμα λαθών</t>
  </si>
  <si>
    <t>άθροισμα λαθών πληκτρολόγησης Γεωγραφικού Μήκους</t>
  </si>
  <si>
    <t>Υπολογισμός του σημείου γ και τις ωριαίας γωνίας. (Γεωγραφικό Μήκος)</t>
  </si>
  <si>
    <t>Υπολογισμός του Αζιμούθιου και του Ύψους   (Γεωγραφικό Πλάτος)</t>
  </si>
  <si>
    <t>Πληκτρολογήθηκαν μη αποδεκτοί χαρακτήρες</t>
  </si>
  <si>
    <t>Μόνο για το βόρειο ημισφαίριο</t>
  </si>
  <si>
    <t>κείμενα</t>
  </si>
  <si>
    <t>Λάθη πληκτρολόγησης Γεωγραφικού Πλάτους</t>
  </si>
  <si>
    <t>Γεωγραφικό πλάτος κάτω από τον ισημερινό</t>
  </si>
  <si>
    <t xml:space="preserve">Γεωγραφικό πλάτος&gt; 90 μοίρες </t>
  </si>
  <si>
    <t>Άθροισμα λαθών</t>
  </si>
  <si>
    <t xml:space="preserve">                                                                                          Κείμενα Ύψους</t>
  </si>
  <si>
    <t xml:space="preserve">                                                                                          Κείμενα Γεωγραφικού Πλάτους</t>
  </si>
  <si>
    <t>Αν είσοδος = 0 ; "" ; ΑΖ</t>
  </si>
  <si>
    <t>Αν ισχύει το παρακάτω είναι 0 είναι είσοδος</t>
  </si>
  <si>
    <t>Βοήθεια!!!</t>
  </si>
  <si>
    <t>Είναι κάτω από τον ορίζοντα!!!</t>
  </si>
  <si>
    <r>
      <t xml:space="preserve">    Οθόνη (</t>
    </r>
    <r>
      <rPr>
        <sz val="11"/>
        <color rgb="FFFF0000"/>
        <rFont val="Times New Roman"/>
        <family val="1"/>
        <charset val="161"/>
      </rPr>
      <t>1</t>
    </r>
    <r>
      <rPr>
        <sz val="11"/>
        <color rgb="FF00B050"/>
        <rFont val="Times New Roman"/>
        <family val="1"/>
        <charset val="161"/>
      </rPr>
      <t>)</t>
    </r>
  </si>
  <si>
    <t>Ανανέωση Ώρας</t>
  </si>
  <si>
    <t>Α/Α Καταχώρισης</t>
  </si>
  <si>
    <t>Ωριαία γωνία   αστέρος  σε Ώρες                                Έξοδος</t>
  </si>
  <si>
    <t>Ωριαία γωνία   αστέρος  * 15, σε Μοίρες                     Έξοδος</t>
  </si>
  <si>
    <t>Όνομα τοποθεσίας</t>
  </si>
  <si>
    <t>Σημειωματάριο Γεωγραφικών συντεταγμένων</t>
  </si>
  <si>
    <t>Τηλεσκόπιο Αρίσταρχος</t>
  </si>
  <si>
    <t>Απέναντι από νησίδα Πάτροκλος</t>
  </si>
  <si>
    <t>Κιθαιρώνας - καταφύγιο</t>
  </si>
  <si>
    <t>Μετάπτωση του Ίππαρχου</t>
  </si>
  <si>
    <t>Αποτελέσματα</t>
  </si>
  <si>
    <t>Ορθή αναφορά α       (Στην δεκαδική μορφή)</t>
  </si>
  <si>
    <t>Υπολογισμός της μετάπτωσης στις εκλειπτικές συντεταγμένες</t>
  </si>
  <si>
    <t>Απόκλιση δ              (Στην δεκαδική μορφή)</t>
  </si>
  <si>
    <t xml:space="preserve">Είσοδος Προγράμματος </t>
  </si>
  <si>
    <t>Εκλειπτικές συντεταγμένες του 2000</t>
  </si>
  <si>
    <t xml:space="preserve">Είσοδος </t>
  </si>
  <si>
    <t>Συντεταγμένη L ( Ανατολικά - Δυτικά)</t>
  </si>
  <si>
    <t>Τιμή μετάπτωσης ανά έτος 50΄΄,26 δευτερόλεπτα της μοίρας</t>
  </si>
  <si>
    <t>Η περιφέρια του κύκλου σε δευτερόλεπτα της μοίρας…………</t>
  </si>
  <si>
    <t>Έτος - 2000</t>
  </si>
  <si>
    <t>Λόξωση της εκλειπτικής σε μοίρες</t>
  </si>
  <si>
    <r>
      <t xml:space="preserve">Συντεταγμένη L </t>
    </r>
    <r>
      <rPr>
        <sz val="11"/>
        <color theme="0"/>
        <rFont val="Times New Roman"/>
        <family val="1"/>
        <charset val="161"/>
      </rPr>
      <t>( Ανατολικά - Δυτικά)</t>
    </r>
  </si>
  <si>
    <t xml:space="preserve">το επάνω * τιμή της μετάπτωσης </t>
  </si>
  <si>
    <t>Ημίτονο λόξωσης της εκλειπτικής</t>
  </si>
  <si>
    <t xml:space="preserve">το επάνω / 3600   (μετατροπή σε μοίρες) </t>
  </si>
  <si>
    <t>Συνημίτονο λόξωσης</t>
  </si>
  <si>
    <t>Το επάνω + L</t>
  </si>
  <si>
    <t>Το επάνω - 360</t>
  </si>
  <si>
    <t>Αν το γαλάζιο &lt; 0 ; Το γκρι ; Το γαλάζιο</t>
  </si>
  <si>
    <t>L</t>
  </si>
  <si>
    <t>ορθή αναφορά * 15</t>
  </si>
  <si>
    <t>ΛΕ = ημίτονο L * συν απόκλισης Β</t>
  </si>
  <si>
    <t>ΘΕ = ΛΕ / συν λόξωσης</t>
  </si>
  <si>
    <t>ΘΛ = ΛΕ * ημ λόξωσης / συν λόξωσης</t>
  </si>
  <si>
    <t>ΘΩ = ΘΛ + ημ απόκλισης Β</t>
  </si>
  <si>
    <t>ΚΩ = ΘΩ * συν λόξωσης</t>
  </si>
  <si>
    <t>ΘΕ = ΚΕ + ΘΚ</t>
  </si>
  <si>
    <t>ΘΛ = ΘΕ * ημίτονο λόξωσης</t>
  </si>
  <si>
    <t>ΘΚ =ΘΩ * ημ λόξωσης</t>
  </si>
  <si>
    <t>ΚΕ = ΘΕ - ΘΚ</t>
  </si>
  <si>
    <t>Μετατροπή του ΛΩ σε μοίρες</t>
  </si>
  <si>
    <t>L -1</t>
  </si>
  <si>
    <t>αν το πορτοκαλί &gt; 0,999999999999 ; 1 ; Το επάνω</t>
  </si>
  <si>
    <t>αν το επάνω &lt; -0,999999999999 ; -1 ; Το επάνω</t>
  </si>
  <si>
    <t>Μετατροπή του επάνω ημιτόνου σε μοίρες</t>
  </si>
  <si>
    <t>ΛΕ =ΘΕ * συνημίτονο λόξωσης</t>
  </si>
  <si>
    <t>αν ημίτονο απόκλισης Β =1 ; 0,000000000001 ; συν απόκλισης Β</t>
  </si>
  <si>
    <t xml:space="preserve">αν ημίτονο απόκλισης Β =-1 ; -0,000000000001 ; το επάνω  </t>
  </si>
  <si>
    <t>αν είσοδος &gt;90 ; είσοδος ; 1000</t>
  </si>
  <si>
    <t xml:space="preserve">αν το επάνω &gt;180 ; 0 ; 2  </t>
  </si>
  <si>
    <t>αν είσοδος &gt;180 ; είσοδος ; 1000</t>
  </si>
  <si>
    <t xml:space="preserve">αν το επάνω &gt;270 ; 0 ; 3  </t>
  </si>
  <si>
    <t>αν το επάνω &gt; 270 ; 4 ; 0</t>
  </si>
  <si>
    <t>Άθροισμα των γκρί</t>
  </si>
  <si>
    <t xml:space="preserve">αν Ορθή αναφορά &gt; 18 ; 4 ; 0 ; </t>
  </si>
  <si>
    <t>αν Ορθή Αναφορά  &gt;12 ; Ορθή αναφορά ; 1000</t>
  </si>
  <si>
    <t>Πίνακες τεταρτημορίων</t>
  </si>
  <si>
    <t>αν το επάνω &gt; 18 ; 0 ; 3</t>
  </si>
  <si>
    <t>αν Ορθή Αναφορά  &gt;6 ; Ορθή αναφορά ; 1000</t>
  </si>
  <si>
    <t>Γωνία Ορθής Αναφορας α</t>
  </si>
  <si>
    <t>αν το επάνω &gt; 12 ; 0 ; 2</t>
  </si>
  <si>
    <t>24 + γωνία ορθής αναφοράς</t>
  </si>
  <si>
    <t>αν Ορθή Αναφορά  &gt;6 ; 0 ; 1</t>
  </si>
  <si>
    <t>αν το γκρί &lt;0 το ; Γαλάζιο ; Γκρί</t>
  </si>
  <si>
    <t>άθροισμα των γκρί</t>
  </si>
  <si>
    <t>12 - Γωνία Ορθής Αναφορας α</t>
  </si>
  <si>
    <t>Ορθή αναφορά από 0 έως 6 ώρες</t>
  </si>
  <si>
    <t>(Γωνία Ορθής Αναφορας α * (-1)) + 12</t>
  </si>
  <si>
    <t>αν το πορτοκαλί &gt; 360 ; το κίτρινο ; το πορτοκαλί</t>
  </si>
  <si>
    <t>Ορθή αναφορά από 6 έως 12 ώρες</t>
  </si>
  <si>
    <t>24 + Γωνία Ορθής Αναφορας α</t>
  </si>
  <si>
    <t>Αν το γκρί &gt; 0 ; το γαλάζιο ;το κρί</t>
  </si>
  <si>
    <t>Ορθή αναφορά από 12 έως 18 ώρες</t>
  </si>
  <si>
    <t>αν το επάνω &lt;0 ; Το γκρί είναι το επάνω</t>
  </si>
  <si>
    <t>Ορθή αναφορά από 18 έως 24 ώρες</t>
  </si>
  <si>
    <t>αν το πρτοκαλί &gt; 360 το ; Κίκτρινο ; Το πορτοκαλί</t>
  </si>
  <si>
    <t xml:space="preserve">απόκλιση αστέρα                                                                  Από πρόγραμμα μετάπτωσης </t>
  </si>
  <si>
    <t>Μετατροπή Ωρών Μοιρών από το δεκαδικό σύστημα σε συμμιγή αριθμό</t>
  </si>
  <si>
    <t>το επάνω * -1</t>
  </si>
  <si>
    <t>αν το επάνω &lt; 0 ; Το γκρι ; Το επάνω</t>
  </si>
  <si>
    <t>Αν το γκρι &lt; 0 ; 2 ; 1</t>
  </si>
  <si>
    <t>Αν το χακί &gt;1000 ; 0 ; Το χακί</t>
  </si>
  <si>
    <t>Μοίρες - Ώρες</t>
  </si>
  <si>
    <t xml:space="preserve">              Άθροισμα</t>
  </si>
  <si>
    <t>Συμμιγής απεικόνιση</t>
  </si>
  <si>
    <t>Άθροισμα Ορθής Αναφοράς + Απόκλιση</t>
  </si>
  <si>
    <t>Έξοδος - Συμμιγής απεικόνιση</t>
  </si>
  <si>
    <t xml:space="preserve">αν χακί = 0 ; "" </t>
  </si>
  <si>
    <t xml:space="preserve">               Ακέραιος</t>
  </si>
  <si>
    <t xml:space="preserve">             Δεκαδικός</t>
  </si>
  <si>
    <t xml:space="preserve">Λεπτά </t>
  </si>
  <si>
    <t>δευτερόλεπτα</t>
  </si>
  <si>
    <t>Ακέραιος</t>
  </si>
  <si>
    <t>Ωριαία Γωνία</t>
  </si>
  <si>
    <t>HD 36905</t>
  </si>
  <si>
    <t>HD 224687</t>
  </si>
  <si>
    <t>BD 87100</t>
  </si>
  <si>
    <t xml:space="preserve">Διόρθωση λόγο της μεταβολής της γωνίας των μεσημβρινών </t>
  </si>
  <si>
    <t>Είσοδος δεδομένων</t>
  </si>
  <si>
    <t>Έτος…</t>
  </si>
  <si>
    <t xml:space="preserve">Ορθή Αναφορά….. </t>
  </si>
  <si>
    <t>Απόκλιση…..</t>
  </si>
  <si>
    <t xml:space="preserve">Ορθή Αναφορά *15 </t>
  </si>
  <si>
    <t>Εύρεση του τόξου ν</t>
  </si>
  <si>
    <t>το επάνω * 50,26΄΄</t>
  </si>
  <si>
    <t>ΓΕ = ημίτονο λόξωσης * ημίτονο τόξου ν.</t>
  </si>
  <si>
    <t>ΓΗ = ΓΕ * ημίτονο Ορθής αναφοράς.</t>
  </si>
  <si>
    <t xml:space="preserve">ΘΖ = ημίτονο απόκλισης * ΓΗ/ΙΩ </t>
  </si>
  <si>
    <t>ημίτονο γωνίας = ΘΖ/συνημίτονο απόκλισης</t>
  </si>
  <si>
    <t>Μετατροπή του επάνω σε μοίρες</t>
  </si>
  <si>
    <t>Μετατροπή του επάνω σε ώρες</t>
  </si>
  <si>
    <t>Το πορτοκαλί * (-1)</t>
  </si>
  <si>
    <t>Αποτέλεσμα έξοδος Ώρες</t>
  </si>
  <si>
    <t>Αποτέλεσμα έξοδος Μοίρες</t>
  </si>
  <si>
    <t>Μοίρες * (-1)</t>
  </si>
  <si>
    <t>Ώρες * (-1)</t>
  </si>
  <si>
    <t>HD 224700</t>
  </si>
  <si>
    <t>Άστρο κατασκευής προγράμματος μεσουράνησης</t>
  </si>
  <si>
    <t>Πάγια διόρθωση -2,5΄΄ δευτερόλεπτα της ώρας =&gt; 37,5΄΄ της μοίρας</t>
  </si>
  <si>
    <t xml:space="preserve"> Ώρες</t>
  </si>
  <si>
    <t>πορτοκαλι - το επάνω</t>
  </si>
  <si>
    <t>αν το γκρί &lt;0 το γαλάζιο</t>
  </si>
  <si>
    <t>αν το επάνω = 24 ; 0 ; Το επάνω</t>
  </si>
  <si>
    <t>Τα 2,5'' 0,0006944 Ώρες</t>
  </si>
  <si>
    <t>Διόρθωση της ωριαίας γωνίας σε Ώρες</t>
  </si>
  <si>
    <t>Διόρθωση της ωριαίας γωνίας σε Μοίρες</t>
  </si>
  <si>
    <t>το επάνω πορτοκαλί *15</t>
  </si>
  <si>
    <t xml:space="preserve">            Βοήθεια!!!</t>
  </si>
  <si>
    <t xml:space="preserve">               Push   to  go! </t>
  </si>
  <si>
    <t>Πίνακας εισόδου από πρόγραμμα μετατροπής δεκαδικου σε συμμιγή</t>
  </si>
  <si>
    <t xml:space="preserve">     Ώρες</t>
  </si>
  <si>
    <t xml:space="preserve">     Λεπτά</t>
  </si>
  <si>
    <r>
      <t xml:space="preserve">Ωριαία Γωνία                </t>
    </r>
    <r>
      <rPr>
        <sz val="11"/>
        <color theme="9" tint="-0.249977111117893"/>
        <rFont val="Times New Roman"/>
        <family val="1"/>
        <charset val="161"/>
      </rPr>
      <t>Enter</t>
    </r>
  </si>
  <si>
    <t>Πρόγραμμα εξόδου ωριαίας γωνίας προς την οθόνη</t>
  </si>
  <si>
    <t>24 - είσοδο</t>
  </si>
  <si>
    <t>το επάνω * 60</t>
  </si>
  <si>
    <t>αν το επάνω &gt;10,8 ; 0 ; Το επάνω</t>
  </si>
  <si>
    <t>αν το επάνω &lt; του δίπλα ; 4000 ; Το επάνω</t>
  </si>
  <si>
    <t>Θα μεσουρανήσει σε λιγότερο από</t>
  </si>
  <si>
    <t>το επάνω - 24</t>
  </si>
  <si>
    <t>αν το γκρι &gt;24 ; Το γαλάζιο ; Το γκρί</t>
  </si>
  <si>
    <t>Άθροισμα λαθών.</t>
  </si>
  <si>
    <t>αν το επάνω = 0 ισχύουν τα επάνω γκρι περιγεγραμμένα κελιά</t>
  </si>
  <si>
    <t>d lyr</t>
  </si>
  <si>
    <t>δ2 Lyr</t>
  </si>
  <si>
    <t>d2</t>
  </si>
  <si>
    <t>delta2</t>
  </si>
  <si>
    <t>delt2</t>
  </si>
  <si>
    <t>δ2</t>
  </si>
  <si>
    <t xml:space="preserve">Με τα επάνω δεδομένα το δ lyr έχει αζιμούθιο 204,74 και το δ2 lyr έχει 179,2!!! Τα άστρα απέχουν </t>
  </si>
  <si>
    <t>κατά ορθή αναφορά μόνο 46,8 δευτερόλεπτα!!! Ή 11,7 λεπτά της μοίρας κι όμως το αζιμούθιο</t>
  </si>
  <si>
    <t>διαφέρει κατά 25,5 μοίρες!!!</t>
  </si>
  <si>
    <t>Φυσικά το δ της λύρας στο μάτι φαίνεται μονός αστέρας κι όταν το σημαδεύουμε με το τηλεσκόπιο</t>
  </si>
  <si>
    <t>Ημέρες Μήνα</t>
  </si>
  <si>
    <t>αν το επάνω &lt; 23,833 ; 0 ; 1</t>
  </si>
  <si>
    <t>αν άθροισμα ορθής αναφοράς κι απόκλισης = 0 ; 1</t>
  </si>
  <si>
    <t>Άθροισμα Ορθής αναφορά κι απόκλισης</t>
  </si>
  <si>
    <t>Ετος</t>
  </si>
  <si>
    <t>Το πρόγραμμα λειτουργεί από το 2000 έως και το 2040</t>
  </si>
  <si>
    <t xml:space="preserve">                                                            a</t>
  </si>
  <si>
    <t>ΔΓ =  ημίτονο λόξωσης/συνημίτονοορθής αναφοράς</t>
  </si>
  <si>
    <t>ΒΖ = (αν ΔΓ = ημίτονο λόξωσης ; 0 ; ΔΓ)</t>
  </si>
  <si>
    <t>ΛΩ =BZ +(ΘΩ –ΘΛ)</t>
  </si>
  <si>
    <t xml:space="preserve">            23,45                                    Λόξωση της εκλειπτικής σε μοίρες</t>
  </si>
  <si>
    <t>συνημίτονο Ορθής αναφοράς α</t>
  </si>
  <si>
    <t>ΘΙ =  ημίτονο Γεωγρασικού Πλάτους/συνημίτονοορθής αναφοράς</t>
  </si>
  <si>
    <t>ΒΑ = (αν ΘΙ = ημίτονο Φεωγραφικού Πλάτους ; 0 ; ΘΙ)</t>
  </si>
  <si>
    <t>ΛΩ = BA + (ΚΩ – ΚΛ)</t>
  </si>
  <si>
    <t xml:space="preserve">Το πρόγραμμα λειτούργει τα έτη 2000 έως και το 2040. </t>
  </si>
  <si>
    <t>Στα Γεωγραφικά μήκη από 19  έως και 30 μοίρες Ανατολικά.</t>
  </si>
  <si>
    <t>Και στα Γεωγραφικά πλάτη, από 0,001 έως 90 μοίρες βόρεια του Γήινου Ισημερινού.</t>
  </si>
  <si>
    <t xml:space="preserve">ελάχιστη </t>
  </si>
  <si>
    <t>μεγίστη</t>
  </si>
  <si>
    <t>και ο δ και ο δ2 χωράνε αμφότεροι στο οπτικό πεδίο του προσοφθαλμίου μας.</t>
  </si>
  <si>
    <t>Γράψτε στην κάτω</t>
  </si>
  <si>
    <t>Μην γράψετε τίποτα στην επάνω οθόνη</t>
  </si>
  <si>
    <t>Σας ευχαριστώ που χρησιμοποιήσατε το πρόγραμμα αλλά ο χρόνος λειτουργίας του παρόντος</t>
  </si>
  <si>
    <t>έλιξε. Αυτό το φύλλο είναι για καθαρά λόγους γνωριμίας με αυτό. Αν θέλετε πραγματικά</t>
  </si>
  <si>
    <t>να το χρησιμοποιείτε για πάντα, γράψτε μου σε αυτό το νήμα ή στείλτε μου  πμ.</t>
  </si>
  <si>
    <r>
      <t>Ορθή αναφορά</t>
    </r>
    <r>
      <rPr>
        <b/>
        <i/>
        <sz val="11"/>
        <color theme="0"/>
        <rFont val="Times New Roman"/>
        <family val="1"/>
        <charset val="161"/>
      </rPr>
      <t xml:space="preserve"> α       </t>
    </r>
    <r>
      <rPr>
        <sz val="11"/>
        <color theme="0"/>
        <rFont val="Times New Roman"/>
        <family val="1"/>
        <charset val="161"/>
      </rPr>
      <t>(Στην δεκαδική μορφή)</t>
    </r>
  </si>
  <si>
    <r>
      <t xml:space="preserve">Ανατολικά - Δυτικά. Συντεταγμένη L του έτους 2000           </t>
    </r>
    <r>
      <rPr>
        <b/>
        <sz val="11"/>
        <color theme="0"/>
        <rFont val="Times New Roman"/>
        <family val="1"/>
        <charset val="161"/>
      </rPr>
      <t>L</t>
    </r>
  </si>
  <si>
    <r>
      <t xml:space="preserve">Απόκλιση </t>
    </r>
    <r>
      <rPr>
        <b/>
        <i/>
        <sz val="11"/>
        <color theme="0"/>
        <rFont val="Times New Roman"/>
        <family val="1"/>
        <charset val="161"/>
      </rPr>
      <t xml:space="preserve">δ              </t>
    </r>
    <r>
      <rPr>
        <sz val="11"/>
        <color theme="0"/>
        <rFont val="Times New Roman"/>
        <family val="1"/>
        <charset val="161"/>
      </rPr>
      <t>(Στην δεκαδική μορφή)</t>
    </r>
  </si>
  <si>
    <r>
      <t xml:space="preserve">Απόκλιση   </t>
    </r>
    <r>
      <rPr>
        <b/>
        <i/>
        <sz val="11"/>
        <color theme="0"/>
        <rFont val="Times New Roman"/>
        <family val="1"/>
        <charset val="161"/>
      </rPr>
      <t>Β</t>
    </r>
  </si>
  <si>
    <r>
      <t xml:space="preserve">Απόκλιση </t>
    </r>
    <r>
      <rPr>
        <i/>
        <sz val="11"/>
        <color theme="0"/>
        <rFont val="Times New Roman"/>
        <family val="1"/>
        <charset val="161"/>
      </rPr>
      <t>Β</t>
    </r>
  </si>
  <si>
    <r>
      <t xml:space="preserve">Το σύμβολο </t>
    </r>
    <r>
      <rPr>
        <b/>
        <sz val="14"/>
        <color theme="0"/>
        <rFont val="Times New Roman"/>
        <family val="1"/>
        <charset val="161"/>
      </rPr>
      <t>γ</t>
    </r>
    <r>
      <rPr>
        <sz val="14"/>
        <color theme="0"/>
        <rFont val="Times New Roman"/>
        <family val="1"/>
        <charset val="161"/>
      </rPr>
      <t>.</t>
    </r>
  </si>
  <si>
    <t>Μεσουρανήσεις του γ την 1 Ιανουαρίου των ετών 2000 έως 2040</t>
  </si>
  <si>
    <t>Με αυτό το γ εννοούμε το εαρινό σημείο τομής της</t>
  </si>
  <si>
    <r>
      <t xml:space="preserve">Ορθή αναφορά </t>
    </r>
    <r>
      <rPr>
        <b/>
        <sz val="11"/>
        <color theme="0"/>
        <rFont val="Times New Roman"/>
        <family val="1"/>
        <charset val="161"/>
      </rPr>
      <t>α</t>
    </r>
  </si>
  <si>
    <r>
      <t xml:space="preserve">Μεσουράνηση του </t>
    </r>
    <r>
      <rPr>
        <b/>
        <sz val="11"/>
        <color theme="0"/>
        <rFont val="Times New Roman"/>
        <family val="1"/>
        <charset val="161"/>
      </rPr>
      <t>γ</t>
    </r>
    <r>
      <rPr>
        <sz val="11"/>
        <color theme="0"/>
        <rFont val="Times New Roman"/>
        <family val="1"/>
        <charset val="161"/>
      </rPr>
      <t xml:space="preserve"> την πρώτη ημέρα του έτους... </t>
    </r>
  </si>
  <si>
    <t>στο νησάκι Στρογγύλη, με Γεωγραφικό μήκος 30 μοίρες ανατολικά.</t>
  </si>
  <si>
    <r>
      <rPr>
        <b/>
        <sz val="11"/>
        <color theme="0"/>
        <rFont val="Times New Roman"/>
        <family val="1"/>
        <charset val="161"/>
      </rPr>
      <t>Είσοδος</t>
    </r>
    <r>
      <rPr>
        <sz val="11"/>
        <color theme="0"/>
        <rFont val="Times New Roman"/>
        <family val="1"/>
        <charset val="161"/>
      </rPr>
      <t xml:space="preserve"> (Δεδομένα)</t>
    </r>
  </si>
  <si>
    <r>
      <t xml:space="preserve">Απόκλιση </t>
    </r>
    <r>
      <rPr>
        <b/>
        <i/>
        <sz val="11"/>
        <color theme="0"/>
        <rFont val="Times New Roman"/>
        <family val="1"/>
        <charset val="161"/>
      </rPr>
      <t>Β</t>
    </r>
  </si>
  <si>
    <r>
      <t xml:space="preserve">Είσοδος </t>
    </r>
    <r>
      <rPr>
        <sz val="11"/>
        <color theme="0"/>
        <rFont val="Times New Roman"/>
        <family val="1"/>
        <charset val="161"/>
      </rPr>
      <t>( Για θερινή -1 για Ώρα Ελλάδος 0)</t>
    </r>
  </si>
  <si>
    <t>Δίσεκτα Έτη 1</t>
  </si>
  <si>
    <r>
      <t>Ημίτονο</t>
    </r>
    <r>
      <rPr>
        <b/>
        <sz val="11"/>
        <color theme="0"/>
        <rFont val="Times New Roman"/>
        <family val="1"/>
        <charset val="161"/>
      </rPr>
      <t xml:space="preserve"> L</t>
    </r>
  </si>
  <si>
    <t>δύο συνεχείς φορές από το σημείο γ.</t>
  </si>
  <si>
    <r>
      <t>Αντί για το σημείο</t>
    </r>
    <r>
      <rPr>
        <b/>
        <sz val="11"/>
        <color theme="0"/>
        <rFont val="Times New Roman"/>
        <family val="1"/>
        <charset val="161"/>
      </rPr>
      <t xml:space="preserve"> γ </t>
    </r>
    <r>
      <rPr>
        <sz val="11"/>
        <color theme="0"/>
        <rFont val="Times New Roman"/>
        <family val="1"/>
        <charset val="161"/>
      </rPr>
      <t>πείρα το</t>
    </r>
  </si>
  <si>
    <r>
      <t xml:space="preserve">συνημίτονο </t>
    </r>
    <r>
      <rPr>
        <b/>
        <sz val="11"/>
        <color theme="0"/>
        <rFont val="Times New Roman"/>
        <family val="1"/>
        <charset val="161"/>
      </rPr>
      <t>L</t>
    </r>
  </si>
  <si>
    <r>
      <t xml:space="preserve">Ηλιακές ημέρες </t>
    </r>
    <r>
      <rPr>
        <b/>
        <sz val="11"/>
        <color theme="0"/>
        <rFont val="Times New Roman"/>
        <family val="1"/>
        <charset val="161"/>
      </rPr>
      <t>τροπικού</t>
    </r>
    <r>
      <rPr>
        <sz val="11"/>
        <color theme="0"/>
        <rFont val="Times New Roman"/>
        <family val="1"/>
        <charset val="161"/>
      </rPr>
      <t xml:space="preserve"> έτους </t>
    </r>
  </si>
  <si>
    <r>
      <t>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</t>
    </r>
    <r>
      <rPr>
        <b/>
        <sz val="11"/>
        <color theme="0"/>
        <rFont val="Times New Roman"/>
        <family val="1"/>
        <charset val="161"/>
      </rPr>
      <t>Β</t>
    </r>
  </si>
  <si>
    <r>
      <t xml:space="preserve">Ορθή αναφορά </t>
    </r>
    <r>
      <rPr>
        <b/>
        <sz val="11"/>
        <color theme="0"/>
        <rFont val="Times New Roman"/>
        <family val="1"/>
        <charset val="161"/>
      </rPr>
      <t>α</t>
    </r>
    <r>
      <rPr>
        <sz val="11"/>
        <color theme="0"/>
        <rFont val="Times New Roman"/>
        <family val="1"/>
        <charset val="161"/>
      </rPr>
      <t xml:space="preserve"> πολύ λίγο</t>
    </r>
  </si>
  <si>
    <r>
      <t xml:space="preserve">Απόκλιση </t>
    </r>
    <r>
      <rPr>
        <b/>
        <i/>
        <sz val="11"/>
        <color theme="0"/>
        <rFont val="Times New Roman"/>
        <family val="1"/>
        <charset val="161"/>
      </rPr>
      <t>Β</t>
    </r>
    <r>
      <rPr>
        <b/>
        <sz val="11"/>
        <color theme="0"/>
        <rFont val="Times New Roman"/>
        <family val="1"/>
        <charset val="161"/>
      </rPr>
      <t xml:space="preserve">.                                                                                                                      </t>
    </r>
  </si>
  <si>
    <r>
      <t>Συνημίτονο Απόκλισης</t>
    </r>
    <r>
      <rPr>
        <b/>
        <sz val="11"/>
        <color theme="0"/>
        <rFont val="Times New Roman"/>
        <family val="1"/>
        <charset val="161"/>
      </rPr>
      <t xml:space="preserve"> Β</t>
    </r>
  </si>
  <si>
    <t>Συντελεστής (24/366,2564)</t>
  </si>
  <si>
    <r>
      <t xml:space="preserve">Ημίτονο Ορθής αναφοράς </t>
    </r>
    <r>
      <rPr>
        <b/>
        <i/>
        <sz val="11"/>
        <color theme="0"/>
        <rFont val="Times New Roman"/>
        <family val="1"/>
        <charset val="161"/>
      </rPr>
      <t>α</t>
    </r>
  </si>
  <si>
    <r>
      <t xml:space="preserve">συνημίτονο Ορθής αναφοράς </t>
    </r>
    <r>
      <rPr>
        <b/>
        <i/>
        <sz val="11"/>
        <color theme="0"/>
        <rFont val="Times New Roman"/>
        <family val="1"/>
        <charset val="161"/>
      </rPr>
      <t>α</t>
    </r>
  </si>
  <si>
    <r>
      <t>Ορθή Αναφορά</t>
    </r>
    <r>
      <rPr>
        <b/>
        <sz val="11"/>
        <color theme="0"/>
        <rFont val="Times New Roman"/>
        <family val="1"/>
        <charset val="161"/>
      </rPr>
      <t xml:space="preserve"> α</t>
    </r>
    <r>
      <rPr>
        <sz val="11"/>
        <color theme="0"/>
        <rFont val="Times New Roman"/>
        <family val="1"/>
        <charset val="161"/>
      </rPr>
      <t xml:space="preserve"> αστέρος</t>
    </r>
  </si>
  <si>
    <r>
      <t>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δ</t>
    </r>
  </si>
  <si>
    <r>
      <t>Απόκλιση</t>
    </r>
    <r>
      <rPr>
        <b/>
        <sz val="11"/>
        <color theme="0"/>
        <rFont val="Times New Roman"/>
        <family val="1"/>
        <charset val="161"/>
      </rPr>
      <t xml:space="preserve"> δ</t>
    </r>
    <r>
      <rPr>
        <sz val="11"/>
        <color theme="0"/>
        <rFont val="Times New Roman"/>
        <family val="1"/>
        <charset val="161"/>
      </rPr>
      <t xml:space="preserve"> αστέρος</t>
    </r>
  </si>
  <si>
    <r>
      <t xml:space="preserve">Συνημίτονο Απόκλισης </t>
    </r>
    <r>
      <rPr>
        <b/>
        <i/>
        <sz val="11"/>
        <color theme="0"/>
        <rFont val="Times New Roman"/>
        <family val="1"/>
        <charset val="161"/>
      </rPr>
      <t>δ</t>
    </r>
  </si>
  <si>
    <r>
      <t xml:space="preserve">(Για θερινή ώρα, πληκτρολογούμε </t>
    </r>
    <r>
      <rPr>
        <b/>
        <sz val="11"/>
        <color theme="0"/>
        <rFont val="Times New Roman"/>
        <family val="1"/>
        <charset val="161"/>
      </rPr>
      <t>-1</t>
    </r>
    <r>
      <rPr>
        <sz val="11"/>
        <color theme="0"/>
        <rFont val="Times New Roman"/>
        <family val="1"/>
        <charset val="161"/>
      </rPr>
      <t>)</t>
    </r>
  </si>
  <si>
    <r>
      <t xml:space="preserve">ΚΩ = 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.                                    </t>
    </r>
    <r>
      <rPr>
        <b/>
        <sz val="11"/>
        <color theme="0"/>
        <rFont val="Times New Roman"/>
        <family val="1"/>
        <charset val="161"/>
      </rPr>
      <t xml:space="preserve">Απόκλιση </t>
    </r>
    <r>
      <rPr>
        <b/>
        <i/>
        <sz val="11"/>
        <color theme="0"/>
        <rFont val="Times New Roman"/>
        <family val="1"/>
        <charset val="161"/>
      </rPr>
      <t>δ</t>
    </r>
  </si>
  <si>
    <r>
      <t xml:space="preserve">ΚΕ = ημίτονο ορθής αναφοράς </t>
    </r>
    <r>
      <rPr>
        <i/>
        <sz val="11"/>
        <color theme="0"/>
        <rFont val="Times New Roman"/>
        <family val="1"/>
        <charset val="161"/>
      </rPr>
      <t>α</t>
    </r>
    <r>
      <rPr>
        <sz val="11"/>
        <color theme="0"/>
        <rFont val="Times New Roman"/>
        <family val="1"/>
        <charset val="161"/>
      </rPr>
      <t xml:space="preserve"> * συνημίτονο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>.</t>
    </r>
  </si>
  <si>
    <r>
      <t xml:space="preserve">ΘΚ = 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* ημ λόξωσης / συν λόξωσης.</t>
    </r>
  </si>
  <si>
    <r>
      <t xml:space="preserve">Ορθή Αναφορά </t>
    </r>
    <r>
      <rPr>
        <b/>
        <i/>
        <sz val="11"/>
        <color theme="0"/>
        <rFont val="Times New Roman"/>
        <family val="1"/>
        <charset val="161"/>
      </rPr>
      <t>α</t>
    </r>
  </si>
  <si>
    <r>
      <t xml:space="preserve">ΘΩ =ημίτονο απόκλισης </t>
    </r>
    <r>
      <rPr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/συνημίτονο λόξωσης.</t>
    </r>
  </si>
  <si>
    <r>
      <t>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δ </t>
    </r>
    <r>
      <rPr>
        <sz val="11"/>
        <color theme="0"/>
        <rFont val="Times New Roman"/>
        <family val="1"/>
        <charset val="161"/>
      </rPr>
      <t>( είναι το ΚΩ)</t>
    </r>
  </si>
  <si>
    <r>
      <t xml:space="preserve">Συνημίτονο Απόκλισης </t>
    </r>
    <r>
      <rPr>
        <b/>
        <i/>
        <sz val="11"/>
        <color theme="0"/>
        <rFont val="Times New Roman"/>
        <family val="1"/>
        <charset val="161"/>
      </rPr>
      <t xml:space="preserve">δ </t>
    </r>
    <r>
      <rPr>
        <sz val="11"/>
        <color theme="0"/>
        <rFont val="Times New Roman"/>
        <family val="1"/>
        <charset val="161"/>
      </rPr>
      <t>(το υπολογίζω με το πυθαγόριο από το ΚΩ)</t>
    </r>
  </si>
  <si>
    <r>
      <t xml:space="preserve">Γεωγραφικό Μήκος </t>
    </r>
    <r>
      <rPr>
        <sz val="11"/>
        <color theme="0"/>
        <rFont val="Times New Roman"/>
        <family val="1"/>
        <charset val="161"/>
      </rPr>
      <t>(Από 19 έως 30 μοίρες Ανατολικά)</t>
    </r>
  </si>
  <si>
    <r>
      <t xml:space="preserve">Αστρικό Έτος </t>
    </r>
    <r>
      <rPr>
        <sz val="11"/>
        <color theme="0"/>
        <rFont val="Times New Roman"/>
        <family val="1"/>
        <charset val="161"/>
      </rPr>
      <t>λοιπόν,  είναι ο χρόνος</t>
    </r>
  </si>
  <si>
    <r>
      <t>Αν το επάνω =</t>
    </r>
    <r>
      <rPr>
        <b/>
        <sz val="11"/>
        <color theme="0"/>
        <rFont val="Times New Roman"/>
        <family val="1"/>
        <charset val="161"/>
      </rPr>
      <t xml:space="preserve"> 1</t>
    </r>
    <r>
      <rPr>
        <sz val="11"/>
        <color theme="0"/>
        <rFont val="Times New Roman"/>
        <family val="1"/>
        <charset val="161"/>
      </rPr>
      <t xml:space="preserve"> δίσεκτα, αν</t>
    </r>
    <r>
      <rPr>
        <b/>
        <sz val="11"/>
        <color theme="0"/>
        <rFont val="Times New Roman"/>
        <family val="1"/>
        <charset val="161"/>
      </rPr>
      <t xml:space="preserve"> 2</t>
    </r>
    <r>
      <rPr>
        <sz val="11"/>
        <color theme="0"/>
        <rFont val="Times New Roman"/>
        <family val="1"/>
        <charset val="161"/>
      </rPr>
      <t xml:space="preserve"> τα κανονικά</t>
    </r>
  </si>
  <si>
    <r>
      <t xml:space="preserve">Το ΛΩ είναι το ημίτονο τις απόκλισης </t>
    </r>
    <r>
      <rPr>
        <i/>
        <sz val="11"/>
        <color theme="0"/>
        <rFont val="Times New Roman"/>
        <family val="1"/>
        <charset val="161"/>
      </rPr>
      <t>Β</t>
    </r>
    <r>
      <rPr>
        <sz val="11"/>
        <color theme="0"/>
        <rFont val="Times New Roman"/>
        <family val="1"/>
        <charset val="161"/>
      </rPr>
      <t xml:space="preserve">.  </t>
    </r>
  </si>
  <si>
    <r>
      <t>αν ημίτονο απόκλισης</t>
    </r>
    <r>
      <rPr>
        <b/>
        <i/>
        <sz val="11"/>
        <color theme="0"/>
        <rFont val="Times New Roman"/>
        <family val="1"/>
        <charset val="161"/>
      </rPr>
      <t xml:space="preserve"> δ</t>
    </r>
    <r>
      <rPr>
        <sz val="11"/>
        <color theme="0"/>
        <rFont val="Times New Roman"/>
        <family val="1"/>
        <charset val="161"/>
      </rPr>
      <t xml:space="preserve"> =1 ; 0,000000000001 ; συν απόκλισης </t>
    </r>
    <r>
      <rPr>
        <b/>
        <i/>
        <sz val="11"/>
        <color theme="0"/>
        <rFont val="Times New Roman"/>
        <family val="1"/>
        <charset val="161"/>
      </rPr>
      <t>δ</t>
    </r>
  </si>
  <si>
    <r>
      <t xml:space="preserve">αν ημίτονο απόκλισης </t>
    </r>
    <r>
      <rPr>
        <b/>
        <i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=-1 ; -0,000000000001 ; το επάνω  </t>
    </r>
  </si>
  <si>
    <t xml:space="preserve">Γεωγραφικό πλάτος            (Από αυτο δείνω στο πρόγραμμα!!!!) </t>
  </si>
  <si>
    <r>
      <t xml:space="preserve">Αποτέλεσμα.    Απόκλιση εκλειπτικής     </t>
    </r>
    <r>
      <rPr>
        <b/>
        <i/>
        <sz val="11"/>
        <color theme="0"/>
        <rFont val="Times New Roman"/>
        <family val="1"/>
        <charset val="161"/>
      </rPr>
      <t>Β</t>
    </r>
    <r>
      <rPr>
        <b/>
        <sz val="11"/>
        <color theme="0"/>
        <rFont val="Times New Roman"/>
        <family val="1"/>
        <charset val="161"/>
      </rPr>
      <t>=</t>
    </r>
  </si>
  <si>
    <r>
      <t xml:space="preserve">Ημίτονο Ορθής Αναφοράς = ΚΕ / συν απόκλισης </t>
    </r>
    <r>
      <rPr>
        <i/>
        <sz val="11"/>
        <color theme="0"/>
        <rFont val="Times New Roman"/>
        <family val="1"/>
        <charset val="161"/>
      </rPr>
      <t>δ</t>
    </r>
  </si>
  <si>
    <t>Κανονικά ή κουτσοφλέβαρα Έτη 2</t>
  </si>
  <si>
    <r>
      <t>Ημίτονο Απόκλισης</t>
    </r>
    <r>
      <rPr>
        <i/>
        <sz val="11"/>
        <color theme="0"/>
        <rFont val="Times New Roman"/>
        <family val="1"/>
        <charset val="161"/>
      </rPr>
      <t xml:space="preserve"> </t>
    </r>
    <r>
      <rPr>
        <b/>
        <sz val="11"/>
        <color theme="0"/>
        <rFont val="Times New Roman"/>
        <family val="1"/>
        <charset val="161"/>
      </rPr>
      <t>Β</t>
    </r>
    <r>
      <rPr>
        <b/>
        <i/>
        <sz val="11"/>
        <color theme="0"/>
        <rFont val="Times New Roman"/>
        <family val="1"/>
        <charset val="161"/>
      </rPr>
      <t xml:space="preserve"> </t>
    </r>
    <r>
      <rPr>
        <sz val="11"/>
        <color theme="0"/>
        <rFont val="Times New Roman"/>
        <family val="1"/>
        <charset val="161"/>
      </rPr>
      <t>( είναι το ΛΩ)</t>
    </r>
  </si>
  <si>
    <r>
      <t>Συνημίτονο Απόκλισης</t>
    </r>
    <r>
      <rPr>
        <b/>
        <sz val="11"/>
        <color theme="0"/>
        <rFont val="Times New Roman"/>
        <family val="1"/>
        <charset val="161"/>
      </rPr>
      <t xml:space="preserve"> Β</t>
    </r>
    <r>
      <rPr>
        <sz val="11"/>
        <color theme="0"/>
        <rFont val="Times New Roman"/>
        <family val="1"/>
        <charset val="161"/>
      </rPr>
      <t xml:space="preserve"> (το υπολογίζω με το πυθαγόρειο από το ΛΩ)</t>
    </r>
  </si>
  <si>
    <r>
      <t xml:space="preserve">το επάνω / 15                                            </t>
    </r>
    <r>
      <rPr>
        <b/>
        <sz val="11"/>
        <color theme="0"/>
        <rFont val="Times New Roman"/>
        <family val="1"/>
        <charset val="161"/>
      </rPr>
      <t xml:space="preserve">Γωνία Ορθής Αναφορας </t>
    </r>
    <r>
      <rPr>
        <b/>
        <i/>
        <sz val="11"/>
        <color theme="0"/>
        <rFont val="Times New Roman"/>
        <family val="1"/>
        <charset val="161"/>
      </rPr>
      <t>α</t>
    </r>
  </si>
  <si>
    <r>
      <t>Πίνακας επιλογών Α                  (</t>
    </r>
    <r>
      <rPr>
        <sz val="11"/>
        <color theme="0"/>
        <rFont val="Times New Roman"/>
        <family val="1"/>
        <charset val="161"/>
      </rPr>
      <t xml:space="preserve">είσοδος </t>
    </r>
    <r>
      <rPr>
        <b/>
        <sz val="11"/>
        <color theme="0"/>
        <rFont val="Times New Roman"/>
        <family val="1"/>
        <charset val="161"/>
      </rPr>
      <t>L</t>
    </r>
    <r>
      <rPr>
        <sz val="11"/>
        <color theme="0"/>
        <rFont val="Times New Roman"/>
        <family val="1"/>
        <charset val="161"/>
      </rPr>
      <t>)</t>
    </r>
  </si>
  <si>
    <t>αν είσοδος &gt;90 ; 0 ; 1</t>
  </si>
  <si>
    <r>
      <t xml:space="preserve">Ημ L = ΛΕ / συν απόκλισης </t>
    </r>
    <r>
      <rPr>
        <i/>
        <sz val="11"/>
        <color theme="0"/>
        <rFont val="Times New Roman"/>
        <family val="1"/>
        <charset val="161"/>
      </rPr>
      <t>Β</t>
    </r>
  </si>
  <si>
    <r>
      <t xml:space="preserve">Ηλιακές ημέρες </t>
    </r>
    <r>
      <rPr>
        <b/>
        <sz val="11"/>
        <color theme="0"/>
        <rFont val="Times New Roman"/>
        <family val="1"/>
        <charset val="161"/>
      </rPr>
      <t>αστρικού</t>
    </r>
    <r>
      <rPr>
        <sz val="11"/>
        <color theme="0"/>
        <rFont val="Times New Roman"/>
        <family val="1"/>
        <charset val="161"/>
      </rPr>
      <t xml:space="preserve"> έτους……………. </t>
    </r>
  </si>
  <si>
    <r>
      <t xml:space="preserve">Αστρικές ημέρες </t>
    </r>
    <r>
      <rPr>
        <b/>
        <sz val="11"/>
        <color theme="0"/>
        <rFont val="Times New Roman"/>
        <family val="1"/>
        <charset val="161"/>
      </rPr>
      <t>αστρικού</t>
    </r>
    <r>
      <rPr>
        <sz val="11"/>
        <color theme="0"/>
        <rFont val="Times New Roman"/>
        <family val="1"/>
        <charset val="161"/>
      </rPr>
      <t xml:space="preserve"> έτους…………….</t>
    </r>
  </si>
  <si>
    <t>Εύρεση γωνίας ω</t>
  </si>
  <si>
    <r>
      <t>L</t>
    </r>
    <r>
      <rPr>
        <b/>
        <vertAlign val="subscript"/>
        <sz val="11"/>
        <color theme="0"/>
        <rFont val="Times New Roman"/>
        <family val="1"/>
        <charset val="161"/>
      </rPr>
      <t xml:space="preserve">1 </t>
    </r>
  </si>
  <si>
    <t xml:space="preserve">Υπολογισμός μεσουράνησης του γ την τρέχουσα χρονιά και ημερομηνία. </t>
  </si>
  <si>
    <r>
      <t>Πίνακας επιλογών Α                  (</t>
    </r>
    <r>
      <rPr>
        <sz val="11"/>
        <color theme="0"/>
        <rFont val="Times New Roman"/>
        <family val="1"/>
        <charset val="161"/>
      </rPr>
      <t>είσοδος Ορθής Αναφοράς)</t>
    </r>
  </si>
  <si>
    <t>Το επάνω/24*συντελεστή  Σχόλιο</t>
  </si>
  <si>
    <t>L  Έως 90 Μοίρες</t>
  </si>
  <si>
    <r>
      <rPr>
        <b/>
        <sz val="11"/>
        <color theme="0"/>
        <rFont val="Times New Roman"/>
        <family val="1"/>
        <charset val="161"/>
      </rPr>
      <t xml:space="preserve">ΔΩ </t>
    </r>
    <r>
      <rPr>
        <sz val="11"/>
        <color theme="0"/>
        <rFont val="Times New Roman"/>
        <family val="1"/>
        <charset val="161"/>
      </rPr>
      <t>τελικό αν το επάνω =0;0,000000001;το επάνω.</t>
    </r>
  </si>
  <si>
    <r>
      <t xml:space="preserve">(Μεσουράνηση του </t>
    </r>
    <r>
      <rPr>
        <b/>
        <sz val="11"/>
        <color theme="0"/>
        <rFont val="Times New Roman"/>
        <family val="1"/>
        <charset val="161"/>
      </rPr>
      <t>γ</t>
    </r>
    <r>
      <rPr>
        <sz val="11"/>
        <color theme="0"/>
        <rFont val="Times New Roman"/>
        <family val="1"/>
        <charset val="161"/>
      </rPr>
      <t xml:space="preserve"> την πρώτη ημέρα του έτους...) - το επάνω </t>
    </r>
  </si>
  <si>
    <r>
      <t xml:space="preserve">( μετατροπή του επάνω ημιτόνου σε μοίρες)                                                   </t>
    </r>
    <r>
      <rPr>
        <b/>
        <sz val="12"/>
        <color theme="0"/>
        <rFont val="Times New Roman"/>
        <family val="1"/>
        <charset val="161"/>
      </rPr>
      <t xml:space="preserve"> ω=</t>
    </r>
  </si>
  <si>
    <t>L από 90 έως 180 Μοίρες</t>
  </si>
  <si>
    <t>το γκρι + το επάνω  (Μεσουράνηση του γ)            Έξοδος</t>
  </si>
  <si>
    <t>L από 180 έως 270 Μοίρες</t>
  </si>
  <si>
    <r>
      <t>L</t>
    </r>
    <r>
      <rPr>
        <vertAlign val="subscript"/>
        <sz val="11"/>
        <color theme="0"/>
        <rFont val="Times New Roman"/>
        <family val="1"/>
        <charset val="161"/>
      </rPr>
      <t xml:space="preserve">1 </t>
    </r>
  </si>
  <si>
    <r>
      <t>L</t>
    </r>
    <r>
      <rPr>
        <vertAlign val="subscript"/>
        <sz val="11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+ 360</t>
    </r>
  </si>
  <si>
    <t>L από 270 έως 360 Μοίρες</t>
  </si>
  <si>
    <r>
      <t xml:space="preserve">Είσοδος                                                                                </t>
    </r>
    <r>
      <rPr>
        <sz val="11"/>
        <color theme="0"/>
        <rFont val="Times New Roman"/>
        <family val="1"/>
        <charset val="161"/>
      </rPr>
      <t>(Γεωγραφικό πλάτος)</t>
    </r>
  </si>
  <si>
    <t xml:space="preserve">                                                                                             (Απόκλιση)</t>
  </si>
  <si>
    <t xml:space="preserve">                                                                                            (Ωριαία Γωνία)</t>
  </si>
  <si>
    <r>
      <t>180 - L</t>
    </r>
    <r>
      <rPr>
        <vertAlign val="subscript"/>
        <sz val="11"/>
        <color theme="0"/>
        <rFont val="Times New Roman"/>
        <family val="1"/>
        <charset val="161"/>
      </rPr>
      <t>1</t>
    </r>
  </si>
  <si>
    <t>Αν η κόκινη αν = 2 ; Το γαλάζιο ; Το κίτρινο</t>
  </si>
  <si>
    <t>Βόρεια Ζώνη 1</t>
  </si>
  <si>
    <r>
      <t xml:space="preserve">αν το επάνω &lt;του Γεωγραφικού Πλάτους ; 0 ; </t>
    </r>
    <r>
      <rPr>
        <b/>
        <sz val="11"/>
        <color theme="0"/>
        <rFont val="Times New Roman"/>
        <family val="1"/>
        <charset val="161"/>
      </rPr>
      <t>1</t>
    </r>
  </si>
  <si>
    <r>
      <t xml:space="preserve">Επιλογέας τημής Ορθής Αναφοράς </t>
    </r>
    <r>
      <rPr>
        <b/>
        <i/>
        <sz val="11"/>
        <color theme="0"/>
        <rFont val="Times New Roman"/>
        <family val="1"/>
        <charset val="161"/>
      </rPr>
      <t>α</t>
    </r>
  </si>
  <si>
    <r>
      <t>αν το επάνω =</t>
    </r>
    <r>
      <rPr>
        <b/>
        <sz val="11"/>
        <color theme="0"/>
        <rFont val="Times New Roman"/>
        <family val="1"/>
        <charset val="161"/>
      </rPr>
      <t xml:space="preserve"> 1</t>
    </r>
    <r>
      <rPr>
        <sz val="11"/>
        <color theme="0"/>
        <rFont val="Times New Roman"/>
        <family val="1"/>
        <charset val="161"/>
      </rPr>
      <t xml:space="preserve"> ; Γωνία</t>
    </r>
    <r>
      <rPr>
        <b/>
        <sz val="11"/>
        <color theme="0"/>
        <rFont val="Times New Roman"/>
        <family val="1"/>
        <charset val="161"/>
      </rPr>
      <t xml:space="preserve"> ω</t>
    </r>
    <r>
      <rPr>
        <sz val="11"/>
        <color theme="0"/>
        <rFont val="Times New Roman"/>
        <family val="1"/>
        <charset val="161"/>
      </rPr>
      <t xml:space="preserve"> ; 0</t>
    </r>
  </si>
  <si>
    <r>
      <rPr>
        <sz val="11"/>
        <color theme="0"/>
        <rFont val="Times New Roman"/>
        <family val="1"/>
        <charset val="161"/>
      </rPr>
      <t xml:space="preserve">Είσοδος από </t>
    </r>
    <r>
      <rPr>
        <b/>
        <sz val="11"/>
        <color theme="0"/>
        <rFont val="Times New Roman"/>
        <family val="1"/>
        <charset val="161"/>
      </rPr>
      <t xml:space="preserve">Πίνακας επιλογών Α                  </t>
    </r>
  </si>
  <si>
    <r>
      <t>Είσοδος  (Ορθή Αναφορά</t>
    </r>
    <r>
      <rPr>
        <b/>
        <sz val="11"/>
        <color theme="0"/>
        <rFont val="Times New Roman"/>
        <family val="1"/>
        <charset val="161"/>
      </rPr>
      <t xml:space="preserve"> α</t>
    </r>
    <r>
      <rPr>
        <sz val="11"/>
        <color theme="0"/>
        <rFont val="Times New Roman"/>
        <family val="1"/>
        <charset val="161"/>
      </rPr>
      <t xml:space="preserve"> αστέρος) </t>
    </r>
  </si>
  <si>
    <t>Επιλογέας τημής L</t>
  </si>
  <si>
    <r>
      <rPr>
        <b/>
        <sz val="11"/>
        <color theme="0"/>
        <rFont val="Times New Roman"/>
        <family val="1"/>
        <charset val="161"/>
      </rPr>
      <t xml:space="preserve">                                                             Έξοδος Ορθής Αναφοράς</t>
    </r>
    <r>
      <rPr>
        <sz val="11"/>
        <color theme="0"/>
        <rFont val="Times New Roman"/>
        <family val="1"/>
        <charset val="161"/>
      </rPr>
      <t xml:space="preserve"> </t>
    </r>
    <r>
      <rPr>
        <b/>
        <i/>
        <sz val="11"/>
        <color theme="0"/>
        <rFont val="Times New Roman"/>
        <family val="1"/>
        <charset val="161"/>
      </rPr>
      <t>α</t>
    </r>
  </si>
  <si>
    <t>Μεσαία ή Πλήρους περιστροφής 2</t>
  </si>
  <si>
    <r>
      <t>Ωριαία γωνία  των Τ</t>
    </r>
    <r>
      <rPr>
        <b/>
        <vertAlign val="subscript"/>
        <sz val="11"/>
        <color theme="0"/>
        <rFont val="Times New Roman"/>
        <family val="1"/>
        <charset val="161"/>
      </rPr>
      <t>Δ</t>
    </r>
    <r>
      <rPr>
        <b/>
        <sz val="11"/>
        <color theme="0"/>
        <rFont val="Times New Roman"/>
        <family val="1"/>
        <charset val="161"/>
      </rPr>
      <t xml:space="preserve"> &amp; Τ</t>
    </r>
    <r>
      <rPr>
        <b/>
        <vertAlign val="subscript"/>
        <sz val="11"/>
        <color theme="0"/>
        <rFont val="Times New Roman"/>
        <family val="1"/>
        <charset val="161"/>
      </rPr>
      <t>Α</t>
    </r>
  </si>
  <si>
    <r>
      <t>Ακτίνα ΚΤ</t>
    </r>
    <r>
      <rPr>
        <vertAlign val="subscript"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= ημ ΓεωΠλα * συν απόκλισης</t>
    </r>
  </si>
  <si>
    <r>
      <t>συν Τ</t>
    </r>
    <r>
      <rPr>
        <vertAlign val="subscript"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 xml:space="preserve"> =ΚΩ/ΚΤ</t>
    </r>
    <r>
      <rPr>
        <vertAlign val="subscript"/>
        <sz val="11"/>
        <color theme="0"/>
        <rFont val="Times New Roman"/>
        <family val="1"/>
        <charset val="161"/>
      </rPr>
      <t>Δ</t>
    </r>
  </si>
  <si>
    <r>
      <t>Τ</t>
    </r>
    <r>
      <rPr>
        <vertAlign val="subscript"/>
        <sz val="11"/>
        <color theme="0"/>
        <rFont val="Times New Roman"/>
        <family val="1"/>
        <charset val="161"/>
      </rPr>
      <t>Δ</t>
    </r>
    <r>
      <rPr>
        <sz val="11"/>
        <color theme="0"/>
        <rFont val="Times New Roman"/>
        <family val="1"/>
        <charset val="161"/>
      </rPr>
      <t>…(μετατροπή του επάνω συνημίτονου σε μοίρες).</t>
    </r>
  </si>
  <si>
    <r>
      <t>Τ</t>
    </r>
    <r>
      <rPr>
        <vertAlign val="subscript"/>
        <sz val="11"/>
        <color theme="0"/>
        <rFont val="Times New Roman"/>
        <family val="1"/>
        <charset val="161"/>
      </rPr>
      <t>Α</t>
    </r>
    <r>
      <rPr>
        <sz val="11"/>
        <color theme="0"/>
        <rFont val="Times New Roman"/>
        <family val="1"/>
        <charset val="161"/>
      </rPr>
      <t xml:space="preserve"> =360-Τ</t>
    </r>
    <r>
      <rPr>
        <vertAlign val="subscript"/>
        <sz val="11"/>
        <color theme="0"/>
        <rFont val="Times New Roman"/>
        <family val="1"/>
        <charset val="161"/>
      </rPr>
      <t>Δ</t>
    </r>
  </si>
  <si>
    <r>
      <t>αν η κόκκινη αν  =</t>
    </r>
    <r>
      <rPr>
        <b/>
        <sz val="11"/>
        <color theme="0"/>
        <rFont val="Times New Roman"/>
        <family val="1"/>
        <charset val="161"/>
      </rPr>
      <t xml:space="preserve"> 2</t>
    </r>
    <r>
      <rPr>
        <sz val="11"/>
        <color theme="0"/>
        <rFont val="Times New Roman"/>
        <family val="1"/>
        <charset val="161"/>
      </rPr>
      <t xml:space="preserve"> ; Γωνία</t>
    </r>
    <r>
      <rPr>
        <b/>
        <sz val="11"/>
        <color theme="0"/>
        <rFont val="Times New Roman"/>
        <family val="1"/>
        <charset val="161"/>
      </rPr>
      <t xml:space="preserve"> ω</t>
    </r>
    <r>
      <rPr>
        <sz val="11"/>
        <color theme="0"/>
        <rFont val="Times New Roman"/>
        <family val="1"/>
        <charset val="161"/>
      </rPr>
      <t xml:space="preserve"> ; 0</t>
    </r>
  </si>
  <si>
    <t>αν ωριαία γωνεία ω &gt;180 ; 10 ; 20</t>
  </si>
  <si>
    <t>αν ωριαία γωνία ω &lt;Τα ; Το επάνω ; Το κίτρινο</t>
  </si>
  <si>
    <t xml:space="preserve">αν ωριαία γωνεία ω &gt;180 ;Το πορτοκαλί ; γαλάζιο </t>
  </si>
  <si>
    <r>
      <t xml:space="preserve">το επάνω / 3600 = Μοίρες                                         </t>
    </r>
    <r>
      <rPr>
        <b/>
        <sz val="11"/>
        <color theme="0"/>
        <rFont val="Times New Roman"/>
        <family val="1"/>
        <charset val="161"/>
      </rPr>
      <t>ν =</t>
    </r>
  </si>
  <si>
    <r>
      <t xml:space="preserve">Ημίτονο του </t>
    </r>
    <r>
      <rPr>
        <b/>
        <sz val="11"/>
        <color theme="0"/>
        <rFont val="Times New Roman"/>
        <family val="1"/>
        <charset val="161"/>
      </rPr>
      <t>ν</t>
    </r>
  </si>
  <si>
    <t>Νότια Ζώνη 3</t>
  </si>
  <si>
    <r>
      <t>ΙΩ = τετραγωνική ρίζα της διαφοράς (1 – ΓΗ</t>
    </r>
    <r>
      <rPr>
        <vertAlign val="superscript"/>
        <sz val="11"/>
        <color theme="0"/>
        <rFont val="Times New Roman"/>
        <family val="1"/>
        <charset val="161"/>
      </rPr>
      <t>2</t>
    </r>
    <r>
      <rPr>
        <sz val="11"/>
        <color theme="0"/>
        <rFont val="Times New Roman"/>
        <family val="1"/>
        <charset val="161"/>
      </rPr>
      <t>)</t>
    </r>
  </si>
  <si>
    <r>
      <t xml:space="preserve">αν το επάνω &gt; (από Γεωγραφικό πλάτος *-(1)) ; 0 ; </t>
    </r>
    <r>
      <rPr>
        <b/>
        <sz val="11"/>
        <color theme="0"/>
        <rFont val="Times New Roman"/>
        <family val="1"/>
        <charset val="161"/>
      </rPr>
      <t>3</t>
    </r>
  </si>
  <si>
    <r>
      <t>αν η κόκκινη αν  =</t>
    </r>
    <r>
      <rPr>
        <b/>
        <sz val="11"/>
        <color theme="0"/>
        <rFont val="Times New Roman"/>
        <family val="1"/>
        <charset val="161"/>
      </rPr>
      <t xml:space="preserve"> 3</t>
    </r>
    <r>
      <rPr>
        <sz val="11"/>
        <color theme="0"/>
        <rFont val="Times New Roman"/>
        <family val="1"/>
        <charset val="161"/>
      </rPr>
      <t xml:space="preserve"> ; Γωνία</t>
    </r>
    <r>
      <rPr>
        <b/>
        <sz val="11"/>
        <color theme="0"/>
        <rFont val="Times New Roman"/>
        <family val="1"/>
        <charset val="161"/>
      </rPr>
      <t xml:space="preserve"> ω</t>
    </r>
    <r>
      <rPr>
        <sz val="11"/>
        <color theme="0"/>
        <rFont val="Times New Roman"/>
        <family val="1"/>
        <charset val="161"/>
      </rPr>
      <t xml:space="preserve"> ; 0</t>
    </r>
  </si>
  <si>
    <t>Άθροισμα των κόκκινων Αν</t>
  </si>
  <si>
    <t>Ημίτονο υ = ΕΘ + ΘΚ</t>
  </si>
  <si>
    <t xml:space="preserve">Ύψος υ =Ημίτονο υ (μετατρέπουμε το ημίτονο σε μοίρες)      </t>
  </si>
  <si>
    <t>LEFT(είσοδος;(FIND(" ";είσοδος;1)-1))</t>
  </si>
  <si>
    <t>MID(Είσοδος;(FIND(" "είσοδος)+1;256)</t>
  </si>
  <si>
    <t xml:space="preserve">αν το επάνω = FALSE ; 0 ; Το (Α) Κελί </t>
  </si>
  <si>
    <t>αν το επάνω = FALSE ; 0 ; Το (Β) Κελί</t>
  </si>
  <si>
    <t xml:space="preserve">                               ΑΠO          Είσοδος</t>
  </si>
  <si>
    <t xml:space="preserve">                             ΠΡΟΣ          Είσοδος</t>
  </si>
  <si>
    <r>
      <t>ν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Μεγάλου Κύνα Διπλός</t>
    </r>
  </si>
  <si>
    <r>
      <t>ν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Canis Major</t>
    </r>
  </si>
  <si>
    <r>
      <t>o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Κύκνου. Διπλός</t>
    </r>
  </si>
  <si>
    <r>
      <t>o</t>
    </r>
    <r>
      <rPr>
        <sz val="8"/>
        <color theme="0"/>
        <rFont val="Times New Roman"/>
        <family val="1"/>
        <charset val="161"/>
      </rPr>
      <t>1</t>
    </r>
    <r>
      <rPr>
        <sz val="11"/>
        <color theme="0"/>
        <rFont val="Times New Roman"/>
        <family val="1"/>
        <charset val="161"/>
      </rPr>
      <t xml:space="preserve"> Cygnus. Διπλός</t>
    </r>
  </si>
  <si>
    <r>
      <t>o</t>
    </r>
    <r>
      <rPr>
        <sz val="8"/>
        <color theme="0"/>
        <rFont val="Times New Roman"/>
        <family val="1"/>
        <charset val="161"/>
      </rPr>
      <t>2</t>
    </r>
    <r>
      <rPr>
        <sz val="11"/>
        <color theme="0"/>
        <rFont val="Times New Roman"/>
        <family val="1"/>
        <charset val="161"/>
      </rPr>
      <t xml:space="preserve"> Κύκνου</t>
    </r>
  </si>
  <si>
    <r>
      <t>o</t>
    </r>
    <r>
      <rPr>
        <sz val="8"/>
        <color theme="0"/>
        <rFont val="Times New Roman"/>
        <family val="1"/>
        <charset val="161"/>
      </rPr>
      <t>2</t>
    </r>
    <r>
      <rPr>
        <sz val="11"/>
        <color theme="0"/>
        <rFont val="Times New Roman"/>
        <family val="1"/>
        <charset val="161"/>
      </rPr>
      <t xml:space="preserve"> Cygnus</t>
    </r>
  </si>
  <si>
    <t>Λάθη καταχωρίσεων Α</t>
  </si>
  <si>
    <t>Λάθη καταχωρίσεων Β</t>
  </si>
  <si>
    <t>α leo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</si>
</sst>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\ _€_-;\-* #,##0\ _€_-;_-* &quot;-&quot;??\ _€_-;_-@_-"/>
    <numFmt numFmtId="165" formatCode="0.0"/>
  </numFmts>
  <fonts count="48"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1"/>
      <color theme="9" tint="-0.249977111117893"/>
      <name val="Times New Roman"/>
      <family val="1"/>
      <charset val="161"/>
    </font>
    <font>
      <b/>
      <sz val="11"/>
      <color rgb="FF00B050"/>
      <name val="Times New Roman"/>
      <family val="1"/>
      <charset val="161"/>
    </font>
    <font>
      <sz val="11"/>
      <color rgb="FFFF0000"/>
      <name val="Times New Roman"/>
      <family val="1"/>
      <charset val="161"/>
    </font>
    <font>
      <sz val="11"/>
      <name val="Times New Roman"/>
      <family val="1"/>
      <charset val="161"/>
    </font>
    <font>
      <sz val="11"/>
      <color rgb="FF00B050"/>
      <name val="Times New Roman"/>
      <family val="1"/>
      <charset val="161"/>
    </font>
    <font>
      <sz val="11"/>
      <color rgb="FFFFFF00"/>
      <name val="Times New Roman"/>
      <family val="1"/>
      <charset val="161"/>
    </font>
    <font>
      <b/>
      <sz val="11"/>
      <color theme="9" tint="-0.249977111117893"/>
      <name val="Times New Roman"/>
      <family val="1"/>
      <charset val="161"/>
    </font>
    <font>
      <sz val="11"/>
      <color rgb="FFC00000"/>
      <name val="Times New Roman"/>
      <family val="1"/>
      <charset val="161"/>
    </font>
    <font>
      <b/>
      <sz val="11"/>
      <color rgb="FFFFFF00"/>
      <name val="Times New Roman"/>
      <family val="1"/>
      <charset val="161"/>
    </font>
    <font>
      <sz val="11"/>
      <color rgb="FFFFC000"/>
      <name val="Times New Roman"/>
      <family val="1"/>
      <charset val="161"/>
    </font>
    <font>
      <b/>
      <sz val="11"/>
      <color indexed="10"/>
      <name val="Tahoma"/>
      <family val="2"/>
      <charset val="161"/>
    </font>
    <font>
      <b/>
      <sz val="11"/>
      <color indexed="10"/>
      <name val="Times New Roman"/>
      <family val="1"/>
      <charset val="161"/>
    </font>
    <font>
      <sz val="11"/>
      <color indexed="10"/>
      <name val="Times New Roman"/>
      <family val="1"/>
      <charset val="161"/>
    </font>
    <font>
      <b/>
      <sz val="9"/>
      <color indexed="10"/>
      <name val="Tahoma"/>
      <family val="2"/>
      <charset val="161"/>
    </font>
    <font>
      <sz val="9"/>
      <color indexed="34"/>
      <name val="Tahoma"/>
      <family val="2"/>
      <charset val="161"/>
    </font>
    <font>
      <b/>
      <sz val="9"/>
      <color indexed="81"/>
      <name val="Tahoma"/>
      <family val="2"/>
      <charset val="161"/>
    </font>
    <font>
      <sz val="9"/>
      <color indexed="10"/>
      <name val="Tahoma"/>
      <family val="2"/>
      <charset val="161"/>
    </font>
    <font>
      <b/>
      <sz val="11"/>
      <color rgb="FFFF0000"/>
      <name val="Times New Roman"/>
      <family val="1"/>
      <charset val="161"/>
    </font>
    <font>
      <sz val="11"/>
      <color theme="5" tint="-0.499984740745262"/>
      <name val="Times New Roman"/>
      <family val="1"/>
      <charset val="161"/>
    </font>
    <font>
      <b/>
      <sz val="9"/>
      <color indexed="34"/>
      <name val="Tahoma"/>
      <family val="2"/>
      <charset val="161"/>
    </font>
    <font>
      <sz val="11"/>
      <color rgb="FF00B0F0"/>
      <name val="Times New Roman"/>
      <family val="1"/>
      <charset val="161"/>
    </font>
    <font>
      <sz val="11"/>
      <color theme="0"/>
      <name val="Times New Roman"/>
      <family val="1"/>
      <charset val="161"/>
    </font>
    <font>
      <b/>
      <sz val="16"/>
      <color rgb="FFFFFF00"/>
      <name val="Times New Roman"/>
      <family val="1"/>
      <charset val="161"/>
    </font>
    <font>
      <sz val="16"/>
      <color theme="9" tint="-0.249977111117893"/>
      <name val="Times New Roman"/>
      <family val="1"/>
      <charset val="161"/>
    </font>
    <font>
      <sz val="9"/>
      <color indexed="81"/>
      <name val="Tahoma"/>
      <family val="2"/>
      <charset val="161"/>
    </font>
    <font>
      <sz val="11"/>
      <color theme="8" tint="0.39997558519241921"/>
      <name val="Times New Roman"/>
      <family val="1"/>
      <charset val="161"/>
    </font>
    <font>
      <b/>
      <sz val="14"/>
      <color rgb="FFFFC000"/>
      <name val="Times New Roman"/>
      <family val="1"/>
      <charset val="161"/>
    </font>
    <font>
      <b/>
      <sz val="11"/>
      <color rgb="FF1DFFFF"/>
      <name val="Times New Roman"/>
      <family val="1"/>
      <charset val="161"/>
    </font>
    <font>
      <sz val="11"/>
      <color theme="5" tint="-0.249977111117893"/>
      <name val="Times New Roman"/>
      <family val="1"/>
      <charset val="161"/>
    </font>
    <font>
      <b/>
      <sz val="11"/>
      <color theme="0"/>
      <name val="Times New Roman"/>
      <family val="1"/>
      <charset val="161"/>
    </font>
    <font>
      <b/>
      <i/>
      <sz val="11"/>
      <color theme="0"/>
      <name val="Times New Roman"/>
      <family val="1"/>
      <charset val="161"/>
    </font>
    <font>
      <sz val="11"/>
      <color rgb="FF1DFFFF"/>
      <name val="Times New Roman"/>
      <family val="1"/>
      <charset val="161"/>
    </font>
    <font>
      <sz val="11"/>
      <color theme="9" tint="0.39997558519241921"/>
      <name val="Times New Roman"/>
      <family val="1"/>
      <charset val="161"/>
    </font>
    <font>
      <sz val="11"/>
      <color theme="0"/>
      <name val="Calibri"/>
      <family val="2"/>
      <charset val="161"/>
      <scheme val="minor"/>
    </font>
    <font>
      <i/>
      <sz val="11"/>
      <color theme="0"/>
      <name val="Times New Roman"/>
      <family val="1"/>
      <charset val="161"/>
    </font>
    <font>
      <b/>
      <sz val="14"/>
      <color theme="0"/>
      <name val="Times New Roman"/>
      <family val="1"/>
      <charset val="161"/>
    </font>
    <font>
      <sz val="14"/>
      <color theme="0"/>
      <name val="Times New Roman"/>
      <family val="1"/>
      <charset val="161"/>
    </font>
    <font>
      <b/>
      <vertAlign val="subscript"/>
      <sz val="11"/>
      <color theme="0"/>
      <name val="Times New Roman"/>
      <family val="1"/>
      <charset val="161"/>
    </font>
    <font>
      <sz val="12"/>
      <color theme="0"/>
      <name val="Times New Roman"/>
      <family val="1"/>
      <charset val="161"/>
    </font>
    <font>
      <b/>
      <sz val="12"/>
      <color theme="0"/>
      <name val="Times New Roman"/>
      <family val="1"/>
      <charset val="161"/>
    </font>
    <font>
      <vertAlign val="subscript"/>
      <sz val="11"/>
      <color theme="0"/>
      <name val="Times New Roman"/>
      <family val="1"/>
      <charset val="161"/>
    </font>
    <font>
      <vertAlign val="superscript"/>
      <sz val="11"/>
      <color theme="0"/>
      <name val="Times New Roman"/>
      <family val="1"/>
      <charset val="161"/>
    </font>
    <font>
      <sz val="10"/>
      <color theme="0"/>
      <name val="Times New Roman"/>
      <family val="1"/>
      <charset val="161"/>
    </font>
    <font>
      <sz val="8"/>
      <color theme="0"/>
      <name val="Times New Roman"/>
      <family val="1"/>
      <charset val="161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1D1B1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39471D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 diagonalDown="1"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 style="thin">
        <color rgb="FFFFFF00"/>
      </diagonal>
    </border>
    <border>
      <left style="thin">
        <color rgb="FFFFFF00"/>
      </left>
      <right style="thin">
        <color rgb="FFFFFF00"/>
      </right>
      <top style="thin">
        <color rgb="FFFFFF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auto="1"/>
      </left>
      <right style="thin">
        <color theme="2" tint="-0.24994659260841701"/>
      </right>
      <top style="thin">
        <color auto="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1" fillId="2" borderId="0" xfId="0" applyFont="1" applyFill="1" applyBorder="1"/>
    <xf numFmtId="0" fontId="1" fillId="0" borderId="0" xfId="0" applyFont="1" applyFill="1"/>
    <xf numFmtId="0" fontId="1" fillId="0" borderId="2" xfId="0" applyFont="1" applyBorder="1"/>
    <xf numFmtId="0" fontId="6" fillId="0" borderId="0" xfId="0" applyFont="1"/>
    <xf numFmtId="0" fontId="1" fillId="0" borderId="0" xfId="0" applyFont="1" applyBorder="1"/>
    <xf numFmtId="0" fontId="1" fillId="3" borderId="3" xfId="0" applyFont="1" applyFill="1" applyBorder="1"/>
    <xf numFmtId="0" fontId="1" fillId="0" borderId="0" xfId="0" applyFont="1" applyFill="1" applyBorder="1"/>
    <xf numFmtId="0" fontId="1" fillId="3" borderId="0" xfId="0" applyFont="1" applyFill="1" applyBorder="1"/>
    <xf numFmtId="0" fontId="1" fillId="3" borderId="0" xfId="0" applyFont="1" applyFill="1"/>
    <xf numFmtId="0" fontId="1" fillId="4" borderId="0" xfId="0" applyFont="1" applyFill="1"/>
    <xf numFmtId="0" fontId="11" fillId="4" borderId="0" xfId="0" applyFont="1" applyFill="1" applyBorder="1"/>
    <xf numFmtId="0" fontId="13" fillId="4" borderId="0" xfId="0" applyFont="1" applyFill="1" applyBorder="1"/>
    <xf numFmtId="0" fontId="4" fillId="4" borderId="0" xfId="0" applyFont="1" applyFill="1" applyBorder="1"/>
    <xf numFmtId="0" fontId="1" fillId="4" borderId="0" xfId="0" applyFont="1" applyFill="1" applyBorder="1"/>
    <xf numFmtId="0" fontId="6" fillId="4" borderId="0" xfId="0" applyFont="1" applyFill="1" applyBorder="1"/>
    <xf numFmtId="0" fontId="10" fillId="4" borderId="0" xfId="0" applyFont="1" applyFill="1" applyBorder="1"/>
    <xf numFmtId="0" fontId="21" fillId="4" borderId="0" xfId="0" applyFont="1" applyFill="1" applyBorder="1"/>
    <xf numFmtId="0" fontId="21" fillId="4" borderId="7" xfId="0" applyFont="1" applyFill="1" applyBorder="1"/>
    <xf numFmtId="0" fontId="1" fillId="4" borderId="0" xfId="0" quotePrefix="1" applyFont="1" applyFill="1"/>
    <xf numFmtId="0" fontId="8" fillId="4" borderId="11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3" fillId="4" borderId="0" xfId="0" applyFont="1" applyFill="1" applyBorder="1"/>
    <xf numFmtId="0" fontId="4" fillId="4" borderId="0" xfId="0" quotePrefix="1" applyFont="1" applyFill="1" applyBorder="1"/>
    <xf numFmtId="0" fontId="1" fillId="4" borderId="14" xfId="0" applyFont="1" applyFill="1" applyBorder="1"/>
    <xf numFmtId="0" fontId="1" fillId="4" borderId="15" xfId="0" applyFont="1" applyFill="1" applyBorder="1"/>
    <xf numFmtId="0" fontId="3" fillId="4" borderId="0" xfId="0" applyFont="1" applyFill="1"/>
    <xf numFmtId="0" fontId="21" fillId="4" borderId="8" xfId="0" applyFont="1" applyFill="1" applyBorder="1"/>
    <xf numFmtId="0" fontId="3" fillId="4" borderId="9" xfId="0" applyFont="1" applyFill="1" applyBorder="1"/>
    <xf numFmtId="0" fontId="21" fillId="4" borderId="9" xfId="0" applyFont="1" applyFill="1" applyBorder="1"/>
    <xf numFmtId="0" fontId="3" fillId="4" borderId="10" xfId="0" applyFont="1" applyFill="1" applyBorder="1"/>
    <xf numFmtId="0" fontId="21" fillId="4" borderId="11" xfId="0" applyFont="1" applyFill="1" applyBorder="1"/>
    <xf numFmtId="0" fontId="3" fillId="4" borderId="12" xfId="0" applyFont="1" applyFill="1" applyBorder="1"/>
    <xf numFmtId="0" fontId="1" fillId="2" borderId="0" xfId="0" applyFont="1" applyFill="1"/>
    <xf numFmtId="0" fontId="11" fillId="2" borderId="0" xfId="0" applyFont="1" applyFill="1" applyBorder="1"/>
    <xf numFmtId="0" fontId="5" fillId="2" borderId="0" xfId="0" applyFont="1" applyFill="1"/>
    <xf numFmtId="0" fontId="24" fillId="2" borderId="0" xfId="0" applyFont="1" applyFill="1"/>
    <xf numFmtId="0" fontId="8" fillId="2" borderId="0" xfId="0" applyFont="1" applyFill="1"/>
    <xf numFmtId="0" fontId="25" fillId="2" borderId="0" xfId="0" applyFont="1" applyFill="1"/>
    <xf numFmtId="0" fontId="6" fillId="2" borderId="0" xfId="0" applyFont="1" applyFill="1"/>
    <xf numFmtId="0" fontId="22" fillId="2" borderId="0" xfId="0" applyFont="1" applyFill="1"/>
    <xf numFmtId="0" fontId="3" fillId="2" borderId="0" xfId="0" applyFont="1" applyFill="1"/>
    <xf numFmtId="0" fontId="1" fillId="2" borderId="0" xfId="0" quotePrefix="1" applyFont="1" applyFill="1"/>
    <xf numFmtId="0" fontId="25" fillId="5" borderId="16" xfId="0" applyFont="1" applyFill="1" applyBorder="1"/>
    <xf numFmtId="0" fontId="12" fillId="6" borderId="4" xfId="0" applyFont="1" applyFill="1" applyBorder="1"/>
    <xf numFmtId="0" fontId="6" fillId="5" borderId="16" xfId="0" applyFont="1" applyFill="1" applyBorder="1"/>
    <xf numFmtId="0" fontId="21" fillId="4" borderId="6" xfId="0" applyFont="1" applyFill="1" applyBorder="1"/>
    <xf numFmtId="0" fontId="4" fillId="5" borderId="17" xfId="0" applyFont="1" applyFill="1" applyBorder="1"/>
    <xf numFmtId="0" fontId="10" fillId="5" borderId="17" xfId="0" applyFont="1" applyFill="1" applyBorder="1"/>
    <xf numFmtId="0" fontId="21" fillId="5" borderId="18" xfId="0" applyFont="1" applyFill="1" applyBorder="1"/>
    <xf numFmtId="0" fontId="25" fillId="4" borderId="16" xfId="0" applyFont="1" applyFill="1" applyBorder="1"/>
    <xf numFmtId="0" fontId="27" fillId="4" borderId="0" xfId="0" applyFont="1" applyFill="1" applyBorder="1"/>
    <xf numFmtId="0" fontId="1" fillId="3" borderId="5" xfId="0" applyFont="1" applyFill="1" applyBorder="1"/>
    <xf numFmtId="0" fontId="1" fillId="3" borderId="1" xfId="0" applyFont="1" applyFill="1" applyBorder="1"/>
    <xf numFmtId="0" fontId="8" fillId="4" borderId="0" xfId="0" applyFont="1" applyFill="1"/>
    <xf numFmtId="0" fontId="12" fillId="6" borderId="19" xfId="0" applyFont="1" applyFill="1" applyBorder="1"/>
    <xf numFmtId="0" fontId="6" fillId="0" borderId="2" xfId="0" applyFont="1" applyBorder="1"/>
    <xf numFmtId="0" fontId="24" fillId="4" borderId="0" xfId="0" applyFont="1" applyFill="1"/>
    <xf numFmtId="0" fontId="29" fillId="4" borderId="0" xfId="0" applyFont="1" applyFill="1" applyBorder="1"/>
    <xf numFmtId="0" fontId="4" fillId="4" borderId="14" xfId="0" applyFont="1" applyFill="1" applyBorder="1"/>
    <xf numFmtId="0" fontId="30" fillId="4" borderId="0" xfId="0" applyFont="1" applyFill="1" applyBorder="1"/>
    <xf numFmtId="0" fontId="12" fillId="4" borderId="0" xfId="0" applyFont="1" applyFill="1" applyBorder="1"/>
    <xf numFmtId="0" fontId="13" fillId="4" borderId="14" xfId="0" applyFont="1" applyFill="1" applyBorder="1"/>
    <xf numFmtId="0" fontId="26" fillId="6" borderId="0" xfId="0" applyFont="1" applyFill="1" applyBorder="1"/>
    <xf numFmtId="0" fontId="9" fillId="4" borderId="0" xfId="0" applyFont="1" applyFill="1" applyBorder="1"/>
    <xf numFmtId="0" fontId="31" fillId="2" borderId="0" xfId="0" applyFont="1" applyFill="1"/>
    <xf numFmtId="0" fontId="4" fillId="4" borderId="11" xfId="0" applyFont="1" applyFill="1" applyBorder="1"/>
    <xf numFmtId="0" fontId="13" fillId="4" borderId="0" xfId="0" applyFont="1" applyFill="1"/>
    <xf numFmtId="0" fontId="4" fillId="2" borderId="14" xfId="0" applyFont="1" applyFill="1" applyBorder="1"/>
    <xf numFmtId="0" fontId="13" fillId="2" borderId="0" xfId="0" applyFont="1" applyFill="1"/>
    <xf numFmtId="0" fontId="4" fillId="2" borderId="20" xfId="0" applyFont="1" applyFill="1" applyBorder="1"/>
    <xf numFmtId="0" fontId="24" fillId="2" borderId="3" xfId="0" applyFont="1" applyFill="1" applyBorder="1"/>
    <xf numFmtId="0" fontId="8" fillId="2" borderId="0" xfId="0" applyFont="1" applyFill="1" applyBorder="1"/>
    <xf numFmtId="0" fontId="4" fillId="2" borderId="0" xfId="0" applyFont="1" applyFill="1" applyBorder="1"/>
    <xf numFmtId="0" fontId="4" fillId="2" borderId="30" xfId="0" applyFont="1" applyFill="1" applyBorder="1"/>
    <xf numFmtId="0" fontId="8" fillId="2" borderId="28" xfId="0" applyFont="1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8" fillId="2" borderId="24" xfId="0" applyFont="1" applyFill="1" applyBorder="1"/>
    <xf numFmtId="0" fontId="8" fillId="2" borderId="25" xfId="0" applyFont="1" applyFill="1" applyBorder="1"/>
    <xf numFmtId="0" fontId="8" fillId="2" borderId="26" xfId="0" applyFont="1" applyFill="1" applyBorder="1"/>
    <xf numFmtId="0" fontId="8" fillId="2" borderId="27" xfId="0" applyFont="1" applyFill="1" applyBorder="1"/>
    <xf numFmtId="0" fontId="8" fillId="2" borderId="31" xfId="0" applyFont="1" applyFill="1" applyBorder="1"/>
    <xf numFmtId="0" fontId="13" fillId="2" borderId="28" xfId="0" applyFont="1" applyFill="1" applyBorder="1"/>
    <xf numFmtId="0" fontId="13" fillId="2" borderId="29" xfId="0" applyFont="1" applyFill="1" applyBorder="1"/>
    <xf numFmtId="0" fontId="13" fillId="2" borderId="30" xfId="0" applyFont="1" applyFill="1" applyBorder="1"/>
    <xf numFmtId="0" fontId="32" fillId="4" borderId="0" xfId="0" applyFont="1" applyFill="1" applyBorder="1"/>
    <xf numFmtId="0" fontId="8" fillId="0" borderId="0" xfId="0" applyFont="1"/>
    <xf numFmtId="0" fontId="31" fillId="4" borderId="11" xfId="0" applyFont="1" applyFill="1" applyBorder="1"/>
    <xf numFmtId="0" fontId="35" fillId="2" borderId="0" xfId="0" applyFont="1" applyFill="1"/>
    <xf numFmtId="0" fontId="1" fillId="7" borderId="0" xfId="0" applyFont="1" applyFill="1"/>
    <xf numFmtId="165" fontId="13" fillId="4" borderId="0" xfId="0" applyNumberFormat="1" applyFont="1" applyFill="1" applyBorder="1"/>
    <xf numFmtId="1" fontId="13" fillId="4" borderId="0" xfId="0" applyNumberFormat="1" applyFont="1" applyFill="1" applyBorder="1"/>
    <xf numFmtId="0" fontId="24" fillId="4" borderId="0" xfId="0" applyFont="1" applyFill="1" applyBorder="1"/>
    <xf numFmtId="0" fontId="36" fillId="4" borderId="0" xfId="0" applyFont="1" applyFill="1" applyBorder="1"/>
    <xf numFmtId="0" fontId="24" fillId="4" borderId="11" xfId="0" applyFont="1" applyFill="1" applyBorder="1"/>
    <xf numFmtId="0" fontId="24" fillId="4" borderId="15" xfId="0" applyFont="1" applyFill="1" applyBorder="1"/>
    <xf numFmtId="0" fontId="24" fillId="4" borderId="13" xfId="0" applyFont="1" applyFill="1" applyBorder="1"/>
    <xf numFmtId="0" fontId="9" fillId="4" borderId="0" xfId="0" applyFont="1" applyFill="1"/>
    <xf numFmtId="0" fontId="36" fillId="4" borderId="0" xfId="0" applyFont="1" applyFill="1"/>
    <xf numFmtId="0" fontId="6" fillId="4" borderId="11" xfId="0" applyFont="1" applyFill="1" applyBorder="1"/>
    <xf numFmtId="0" fontId="36" fillId="4" borderId="12" xfId="0" applyFont="1" applyFill="1" applyBorder="1"/>
    <xf numFmtId="0" fontId="36" fillId="4" borderId="14" xfId="0" applyFont="1" applyFill="1" applyBorder="1"/>
    <xf numFmtId="0" fontId="7" fillId="2" borderId="0" xfId="0" applyFont="1" applyFill="1"/>
    <xf numFmtId="0" fontId="35" fillId="4" borderId="6" xfId="0" applyFont="1" applyFill="1" applyBorder="1"/>
    <xf numFmtId="0" fontId="25" fillId="0" borderId="0" xfId="0" applyFont="1" applyFill="1" applyBorder="1"/>
    <xf numFmtId="0" fontId="33" fillId="0" borderId="0" xfId="0" applyFont="1" applyFill="1" applyBorder="1"/>
    <xf numFmtId="0" fontId="25" fillId="0" borderId="0" xfId="0" applyNumberFormat="1" applyFont="1" applyFill="1" applyBorder="1"/>
    <xf numFmtId="0" fontId="33" fillId="0" borderId="0" xfId="0" applyNumberFormat="1" applyFont="1" applyFill="1" applyBorder="1"/>
    <xf numFmtId="49" fontId="25" fillId="0" borderId="0" xfId="0" applyNumberFormat="1" applyFont="1" applyFill="1" applyBorder="1"/>
    <xf numFmtId="0" fontId="25" fillId="0" borderId="0" xfId="0" quotePrefix="1" applyFont="1" applyFill="1" applyBorder="1"/>
    <xf numFmtId="0" fontId="42" fillId="0" borderId="0" xfId="0" applyFont="1" applyFill="1" applyBorder="1"/>
    <xf numFmtId="0" fontId="43" fillId="0" borderId="0" xfId="0" applyFont="1" applyFill="1" applyBorder="1"/>
    <xf numFmtId="0" fontId="37" fillId="0" borderId="0" xfId="0" applyFont="1" applyFill="1" applyBorder="1"/>
    <xf numFmtId="0" fontId="46" fillId="0" borderId="0" xfId="0" applyFont="1" applyFill="1" applyBorder="1"/>
    <xf numFmtId="164" fontId="46" fillId="0" borderId="0" xfId="1" applyNumberFormat="1" applyFont="1" applyFill="1" applyBorder="1"/>
    <xf numFmtId="22" fontId="25" fillId="0" borderId="0" xfId="0" applyNumberFormat="1" applyFont="1" applyFill="1" applyBorder="1"/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1D1B11"/>
      <color rgb="FF1D0000"/>
      <color rgb="FF1DFFFF"/>
      <color rgb="FF39471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A1217"/>
  <sheetViews>
    <sheetView tabSelected="1" topLeftCell="AJ57" zoomScale="80" zoomScaleNormal="80" workbookViewId="0">
      <selection activeCell="AS101" sqref="AS101"/>
    </sheetView>
  </sheetViews>
  <sheetFormatPr defaultRowHeight="15"/>
  <cols>
    <col min="1" max="3" width="9.140625" style="108"/>
    <col min="4" max="4" width="1.42578125" style="116" customWidth="1"/>
    <col min="5" max="5" width="0.85546875" style="108" customWidth="1"/>
    <col min="6" max="6" width="11.42578125" style="108" bestFit="1" customWidth="1"/>
    <col min="7" max="7" width="10.85546875" style="108" customWidth="1"/>
    <col min="8" max="8" width="11.140625" style="108" customWidth="1"/>
    <col min="9" max="9" width="11.42578125" style="108" customWidth="1"/>
    <col min="10" max="10" width="11" style="108" customWidth="1"/>
    <col min="11" max="11" width="10.85546875" style="108" customWidth="1"/>
    <col min="12" max="12" width="11.85546875" style="108" customWidth="1"/>
    <col min="13" max="14" width="19.85546875" style="108" customWidth="1"/>
    <col min="15" max="15" width="0.85546875" style="108" customWidth="1"/>
    <col min="16" max="16" width="1.5703125" style="108" customWidth="1"/>
    <col min="17" max="17" width="9.140625" style="108"/>
    <col min="18" max="18" width="27" style="108" customWidth="1"/>
    <col min="19" max="19" width="24.7109375" style="108" customWidth="1"/>
    <col min="20" max="21" width="9.140625" style="108"/>
    <col min="22" max="22" width="3.5703125" style="108" customWidth="1"/>
    <col min="23" max="23" width="15.7109375" style="108" customWidth="1"/>
    <col min="24" max="24" width="22.42578125" style="108" customWidth="1"/>
    <col min="25" max="25" width="21.5703125" style="108" customWidth="1"/>
    <col min="26" max="26" width="9.140625" style="108"/>
    <col min="27" max="27" width="21.140625" style="108" customWidth="1"/>
    <col min="28" max="28" width="47.7109375" style="108" customWidth="1"/>
    <col min="29" max="29" width="9.140625" style="108"/>
    <col min="30" max="30" width="22" style="108" customWidth="1"/>
    <col min="31" max="31" width="9.140625" style="108"/>
    <col min="32" max="32" width="9.85546875" style="108" customWidth="1"/>
    <col min="33" max="34" width="9.140625" style="108"/>
    <col min="35" max="35" width="45.7109375" style="108" customWidth="1"/>
    <col min="36" max="36" width="9.140625" style="108"/>
    <col min="37" max="37" width="3.85546875" style="108" customWidth="1"/>
    <col min="38" max="38" width="3.28515625" style="108" customWidth="1"/>
    <col min="39" max="40" width="9.140625" style="1"/>
    <col min="41" max="41" width="5" style="1" customWidth="1"/>
    <col min="42" max="42" width="1" style="1" customWidth="1"/>
    <col min="43" max="43" width="3.42578125" style="1" customWidth="1"/>
    <col min="44" max="44" width="22.140625" style="1" customWidth="1"/>
    <col min="45" max="46" width="9.140625" style="1"/>
    <col min="47" max="47" width="9.140625" style="10"/>
    <col min="48" max="48" width="7.28515625" style="1" customWidth="1"/>
    <col min="49" max="49" width="7.42578125" style="1" customWidth="1"/>
    <col min="50" max="50" width="7" style="1" customWidth="1"/>
    <col min="51" max="51" width="13.7109375" style="1" customWidth="1"/>
    <col min="52" max="52" width="6.85546875" style="1" customWidth="1"/>
    <col min="53" max="53" width="1.7109375" style="1" customWidth="1"/>
    <col min="54" max="55" width="9.140625" style="1"/>
    <col min="56" max="56" width="3.28515625" style="108" customWidth="1"/>
    <col min="57" max="57" width="9.140625" style="108"/>
    <col min="58" max="58" width="43.85546875" style="108" customWidth="1"/>
    <col min="59" max="61" width="9.140625" style="108"/>
    <col min="62" max="62" width="32.42578125" style="108" customWidth="1"/>
    <col min="63" max="63" width="9.140625" style="108"/>
    <col min="64" max="64" width="3.85546875" style="108" customWidth="1"/>
    <col min="65" max="65" width="64.28515625" style="108" customWidth="1"/>
    <col min="66" max="66" width="13" style="108" bestFit="1" customWidth="1"/>
    <col min="67" max="67" width="9.140625" style="108"/>
    <col min="68" max="68" width="58.42578125" style="108" customWidth="1"/>
    <col min="69" max="69" width="13.28515625" style="108" bestFit="1" customWidth="1"/>
    <col min="70" max="70" width="9.140625" style="108"/>
    <col min="71" max="71" width="64.28515625" style="108" customWidth="1"/>
    <col min="72" max="72" width="14.85546875" style="108" bestFit="1" customWidth="1"/>
    <col min="73" max="73" width="3.85546875" style="108" customWidth="1"/>
    <col min="74" max="74" width="9.140625" style="108"/>
    <col min="75" max="75" width="3.140625" style="108" customWidth="1"/>
    <col min="76" max="76" width="47.140625" style="108" customWidth="1"/>
    <col min="77" max="77" width="11.42578125" style="108" customWidth="1"/>
    <col min="78" max="79" width="9.140625" style="108"/>
    <col min="80" max="80" width="27" style="108" customWidth="1"/>
    <col min="81" max="82" width="9.140625" style="108"/>
    <col min="83" max="83" width="47.42578125" style="108" customWidth="1"/>
    <col min="84" max="84" width="18.140625" style="108" customWidth="1"/>
    <col min="85" max="89" width="9.140625" style="108"/>
    <col min="90" max="90" width="70" style="108" customWidth="1"/>
    <col min="91" max="91" width="14" style="108" customWidth="1"/>
    <col min="92" max="92" width="11.28515625" style="108" bestFit="1" customWidth="1"/>
    <col min="93" max="94" width="9.140625" style="108"/>
    <col min="95" max="95" width="14.5703125" style="108" customWidth="1"/>
    <col min="96" max="96" width="11" style="108" customWidth="1"/>
    <col min="97" max="101" width="9.140625" style="108"/>
    <col min="102" max="102" width="12.7109375" style="108" customWidth="1"/>
    <col min="103" max="106" width="9.140625" style="108"/>
    <col min="107" max="107" width="3.85546875" style="108" customWidth="1"/>
    <col min="108" max="108" width="87.42578125" style="108" customWidth="1"/>
    <col min="109" max="109" width="13.28515625" style="108" bestFit="1" customWidth="1"/>
    <col min="110" max="110" width="4" style="108" customWidth="1"/>
    <col min="111" max="111" width="9.140625" style="108"/>
    <col min="112" max="112" width="3.42578125" style="108" customWidth="1"/>
    <col min="113" max="113" width="9.140625" style="108"/>
    <col min="114" max="114" width="36.42578125" style="108" customWidth="1"/>
    <col min="115" max="123" width="9.140625" style="108"/>
    <col min="124" max="124" width="3.42578125" style="108" customWidth="1"/>
    <col min="125" max="125" width="9.140625" style="108"/>
    <col min="126" max="126" width="36.42578125" style="108" customWidth="1"/>
    <col min="127" max="135" width="9.140625" style="108"/>
    <col min="136" max="136" width="3.28515625" style="108" customWidth="1"/>
    <col min="137" max="138" width="9.140625" style="108"/>
    <col min="139" max="16384" width="9.140625" style="1"/>
  </cols>
  <sheetData>
    <row r="1" spans="1:183">
      <c r="F1" s="109" t="s">
        <v>0</v>
      </c>
      <c r="AM1" s="109" t="s">
        <v>0</v>
      </c>
      <c r="AN1" s="109"/>
      <c r="AO1" s="109"/>
      <c r="AP1" s="109"/>
      <c r="AQ1" s="109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N1" s="108">
        <v>1</v>
      </c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</row>
    <row r="2" spans="1:183">
      <c r="D2" s="108"/>
      <c r="F2" s="109"/>
      <c r="AM2" s="109" t="s">
        <v>3445</v>
      </c>
      <c r="AN2" s="109"/>
      <c r="AO2" s="109"/>
      <c r="AP2" s="109"/>
      <c r="AQ2" s="109"/>
      <c r="AR2" s="108"/>
      <c r="AS2" s="108"/>
      <c r="AT2" s="108"/>
      <c r="AU2" s="108"/>
      <c r="AV2" s="109" t="s">
        <v>3445</v>
      </c>
      <c r="AW2" s="108"/>
      <c r="AX2" s="108"/>
      <c r="AY2" s="108"/>
      <c r="AZ2" s="108"/>
      <c r="BA2" s="108"/>
      <c r="BB2" s="108"/>
      <c r="BC2" s="108"/>
      <c r="BN2" s="108">
        <v>2</v>
      </c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</row>
    <row r="3" spans="1:183">
      <c r="B3" s="109" t="s">
        <v>1</v>
      </c>
      <c r="F3" s="108" t="s">
        <v>2</v>
      </c>
      <c r="G3" s="108" t="s">
        <v>3</v>
      </c>
      <c r="H3" s="108" t="s">
        <v>4</v>
      </c>
      <c r="I3" s="109" t="s">
        <v>5</v>
      </c>
      <c r="J3" s="108" t="s">
        <v>6</v>
      </c>
      <c r="K3" s="109" t="s">
        <v>7</v>
      </c>
      <c r="M3" s="108" t="s">
        <v>8</v>
      </c>
      <c r="N3" s="108" t="s">
        <v>8</v>
      </c>
      <c r="AL3" s="109"/>
      <c r="AM3" s="109" t="s">
        <v>3481</v>
      </c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N3" s="108">
        <v>3</v>
      </c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</row>
    <row r="4" spans="1:183">
      <c r="A4" s="109" t="s">
        <v>9</v>
      </c>
      <c r="B4" s="109" t="s">
        <v>10</v>
      </c>
      <c r="C4" s="109" t="s">
        <v>11</v>
      </c>
      <c r="F4" s="108" t="s">
        <v>12</v>
      </c>
      <c r="G4" s="108" t="s">
        <v>13</v>
      </c>
      <c r="H4" s="108" t="s">
        <v>14</v>
      </c>
      <c r="I4" s="108" t="s">
        <v>15</v>
      </c>
      <c r="J4" s="108" t="s">
        <v>16</v>
      </c>
      <c r="K4" s="108" t="s">
        <v>14</v>
      </c>
      <c r="L4" s="108" t="s">
        <v>15</v>
      </c>
      <c r="M4" s="108" t="s">
        <v>17</v>
      </c>
      <c r="N4" s="108" t="s">
        <v>18</v>
      </c>
      <c r="W4" s="108" t="s">
        <v>19</v>
      </c>
      <c r="Y4" s="108" t="s">
        <v>20</v>
      </c>
      <c r="AA4" s="108" t="s">
        <v>21</v>
      </c>
      <c r="AM4" s="109" t="s">
        <v>3534</v>
      </c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E4" s="109"/>
      <c r="BN4" s="108">
        <v>4</v>
      </c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</row>
    <row r="5" spans="1:183">
      <c r="A5" s="108">
        <v>0</v>
      </c>
      <c r="B5" s="109" t="str">
        <f>T155</f>
        <v>α leo</v>
      </c>
      <c r="C5" s="109">
        <f>AJ9</f>
        <v>0</v>
      </c>
      <c r="G5" s="108">
        <v>0</v>
      </c>
      <c r="H5" s="108">
        <v>0</v>
      </c>
      <c r="I5" s="108">
        <v>0</v>
      </c>
      <c r="J5" s="108">
        <v>0</v>
      </c>
      <c r="K5" s="108">
        <v>0</v>
      </c>
      <c r="L5" s="108">
        <v>0</v>
      </c>
      <c r="M5" s="108">
        <v>0</v>
      </c>
      <c r="N5" s="108">
        <v>0</v>
      </c>
      <c r="R5" s="108">
        <v>5324809</v>
      </c>
      <c r="Y5" s="108">
        <f>AJ10</f>
        <v>0</v>
      </c>
      <c r="AB5" s="108" t="s">
        <v>22</v>
      </c>
      <c r="AC5" s="108" t="s">
        <v>23</v>
      </c>
      <c r="AD5" s="108" t="s">
        <v>24</v>
      </c>
      <c r="AE5" s="108" t="s">
        <v>23</v>
      </c>
      <c r="AF5" s="108" t="s">
        <v>25</v>
      </c>
      <c r="AM5" s="109" t="s">
        <v>3535</v>
      </c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E5" s="109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</row>
    <row r="6" spans="1:183">
      <c r="A6" s="108">
        <v>0.1</v>
      </c>
      <c r="B6" s="108" t="str">
        <f t="shared" ref="B6:B69" si="0">IF(B5=F6,A6,B5)</f>
        <v>α leo</v>
      </c>
      <c r="C6" s="108">
        <f t="shared" ref="C6:C69" si="1" xml:space="preserve"> IF(C5=F6,A6,C5)</f>
        <v>0</v>
      </c>
      <c r="F6" s="108" t="s">
        <v>26</v>
      </c>
      <c r="M6" s="108" t="s">
        <v>27</v>
      </c>
      <c r="N6" s="108" t="s">
        <v>28</v>
      </c>
      <c r="W6" s="108" t="s">
        <v>29</v>
      </c>
      <c r="Y6" s="108" t="str">
        <f>IF(Y5=0,"α",Y5)</f>
        <v>α</v>
      </c>
      <c r="AA6" s="108" t="s">
        <v>30</v>
      </c>
      <c r="AC6" s="108" t="s">
        <v>31</v>
      </c>
      <c r="AD6" s="108" t="s">
        <v>17</v>
      </c>
      <c r="AE6" s="108" t="s">
        <v>32</v>
      </c>
      <c r="AM6" s="109" t="s">
        <v>3729</v>
      </c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E6" s="109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</row>
    <row r="7" spans="1:183">
      <c r="A7" s="108">
        <v>0.5</v>
      </c>
      <c r="B7" s="108" t="str">
        <f t="shared" si="0"/>
        <v>α leo</v>
      </c>
      <c r="C7" s="108">
        <f t="shared" si="1"/>
        <v>0</v>
      </c>
      <c r="F7" s="108" t="s">
        <v>33</v>
      </c>
      <c r="M7" s="108" t="s">
        <v>27</v>
      </c>
      <c r="N7" s="108" t="s">
        <v>28</v>
      </c>
      <c r="X7" s="108" t="b">
        <v>0</v>
      </c>
      <c r="AI7" s="109" t="s">
        <v>34</v>
      </c>
      <c r="AM7" s="109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E7" s="109" t="s">
        <v>3481</v>
      </c>
      <c r="BL7" s="109" t="s">
        <v>3729</v>
      </c>
      <c r="BX7" s="109" t="s">
        <v>3534</v>
      </c>
      <c r="DD7" s="109" t="s">
        <v>3535</v>
      </c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</row>
    <row r="8" spans="1:183">
      <c r="A8" s="108">
        <v>1</v>
      </c>
      <c r="B8" s="108" t="str">
        <f t="shared" si="0"/>
        <v>α leo</v>
      </c>
      <c r="C8" s="108">
        <f t="shared" si="1"/>
        <v>0</v>
      </c>
      <c r="F8" s="108" t="s">
        <v>35</v>
      </c>
      <c r="G8" s="108" t="s">
        <v>36</v>
      </c>
      <c r="H8" s="108" t="s">
        <v>37</v>
      </c>
      <c r="I8" s="108" t="s">
        <v>38</v>
      </c>
      <c r="J8" s="108" t="s">
        <v>39</v>
      </c>
      <c r="K8" s="108" t="s">
        <v>40</v>
      </c>
      <c r="L8" s="108" t="s">
        <v>41</v>
      </c>
      <c r="M8" s="108" t="s">
        <v>42</v>
      </c>
      <c r="N8" s="108" t="s">
        <v>43</v>
      </c>
      <c r="S8" s="109" t="s">
        <v>1</v>
      </c>
      <c r="W8" s="108" t="s">
        <v>44</v>
      </c>
      <c r="Y8" s="108" t="str">
        <f>LOOKUP(Y6,(X20:X266),(X20:X266))</f>
        <v>α</v>
      </c>
      <c r="AA8" s="108" t="str">
        <f>Y20</f>
        <v>a</v>
      </c>
      <c r="AB8" s="108" t="str">
        <f>""</f>
        <v/>
      </c>
      <c r="AC8" s="108" t="str">
        <f>""</f>
        <v/>
      </c>
      <c r="AD8" s="108" t="str">
        <f>""</f>
        <v/>
      </c>
      <c r="AE8" s="108" t="str">
        <f>""</f>
        <v/>
      </c>
      <c r="AF8" s="108" t="str">
        <f>""</f>
        <v/>
      </c>
      <c r="AI8" s="109" t="s">
        <v>45</v>
      </c>
      <c r="AJ8" s="108" t="str">
        <f>AU76</f>
        <v>α leo</v>
      </c>
      <c r="AM8" s="109" t="s">
        <v>3445</v>
      </c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M8" s="109" t="s">
        <v>3730</v>
      </c>
    </row>
    <row r="9" spans="1:183">
      <c r="A9" s="108">
        <v>2</v>
      </c>
      <c r="B9" s="108" t="str">
        <f t="shared" si="0"/>
        <v>α leo</v>
      </c>
      <c r="C9" s="108">
        <f t="shared" si="1"/>
        <v>0</v>
      </c>
      <c r="F9" s="108" t="s">
        <v>46</v>
      </c>
      <c r="G9" s="108">
        <v>5</v>
      </c>
      <c r="H9" s="108">
        <v>46</v>
      </c>
      <c r="I9" s="108">
        <v>9.8000000000000007</v>
      </c>
      <c r="J9" s="108">
        <v>18</v>
      </c>
      <c r="K9" s="108">
        <v>19</v>
      </c>
      <c r="L9" s="108">
        <v>55</v>
      </c>
      <c r="M9" s="108" t="s">
        <v>47</v>
      </c>
      <c r="N9" s="108" t="s">
        <v>48</v>
      </c>
      <c r="S9" s="109" t="s">
        <v>49</v>
      </c>
      <c r="T9" s="108" t="str">
        <f>AJ8</f>
        <v>α leo</v>
      </c>
      <c r="W9" s="108" t="s">
        <v>50</v>
      </c>
      <c r="Y9" s="108">
        <f>IF(Y8=Y6,1,"a")</f>
        <v>1</v>
      </c>
      <c r="AA9" s="108" t="s">
        <v>51</v>
      </c>
      <c r="AB9" s="108" t="s">
        <v>52</v>
      </c>
      <c r="AC9" s="108" t="s">
        <v>53</v>
      </c>
      <c r="AD9" s="108" t="s">
        <v>54</v>
      </c>
      <c r="AE9" s="108" t="s">
        <v>55</v>
      </c>
      <c r="AI9" s="109" t="s">
        <v>56</v>
      </c>
      <c r="AJ9" s="108">
        <v>0</v>
      </c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E9" s="109" t="s">
        <v>1</v>
      </c>
      <c r="BF9" s="108" t="s">
        <v>301</v>
      </c>
      <c r="BG9" s="108" t="b">
        <f>ISNUMBER(BE10)</f>
        <v>1</v>
      </c>
      <c r="BI9" s="109" t="s">
        <v>1</v>
      </c>
      <c r="BJ9" s="108" t="s">
        <v>3450</v>
      </c>
      <c r="BK9" s="108" t="b">
        <f>ISNUMBER(BI10)</f>
        <v>1</v>
      </c>
      <c r="BM9" s="109" t="s">
        <v>3731</v>
      </c>
      <c r="BN9" s="109">
        <f ca="1">BT10</f>
        <v>10.157333711617344</v>
      </c>
      <c r="BP9" s="109" t="s">
        <v>3732</v>
      </c>
      <c r="BS9" s="109" t="s">
        <v>3730</v>
      </c>
    </row>
    <row r="10" spans="1:183">
      <c r="A10" s="108">
        <v>3</v>
      </c>
      <c r="B10" s="108" t="str">
        <f t="shared" si="0"/>
        <v>α leo</v>
      </c>
      <c r="C10" s="108">
        <f t="shared" si="1"/>
        <v>0</v>
      </c>
      <c r="F10" s="108" t="s">
        <v>57</v>
      </c>
      <c r="G10" s="108">
        <v>21</v>
      </c>
      <c r="H10" s="108">
        <v>5</v>
      </c>
      <c r="I10" s="108">
        <v>32</v>
      </c>
      <c r="J10" s="108">
        <v>-4</v>
      </c>
      <c r="K10" s="108">
        <v>-21</v>
      </c>
      <c r="L10" s="108">
        <v>-43</v>
      </c>
      <c r="S10" s="109" t="s">
        <v>11</v>
      </c>
      <c r="T10" s="108">
        <f>AJ9</f>
        <v>0</v>
      </c>
      <c r="W10" s="108" t="s">
        <v>58</v>
      </c>
      <c r="Y10" s="108" t="b">
        <f>ISNUMBER(Y9)</f>
        <v>1</v>
      </c>
      <c r="AA10" s="108" t="s">
        <v>59</v>
      </c>
      <c r="AB10" s="108" t="s">
        <v>60</v>
      </c>
      <c r="AC10" s="108" t="s">
        <v>61</v>
      </c>
      <c r="AD10" s="108" t="s">
        <v>62</v>
      </c>
      <c r="AE10" s="108" t="s">
        <v>63</v>
      </c>
      <c r="AI10" s="108" t="s">
        <v>64</v>
      </c>
      <c r="AJ10" s="108">
        <f>AR72</f>
        <v>0</v>
      </c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E10" s="108">
        <f>AJ39</f>
        <v>10</v>
      </c>
      <c r="BF10" s="108" t="s">
        <v>3463</v>
      </c>
      <c r="BG10" s="108">
        <f>IF(BG9=BF13,0,BE10)</f>
        <v>10</v>
      </c>
      <c r="BI10" s="108">
        <f>AJ43</f>
        <v>11</v>
      </c>
      <c r="BJ10" s="108" t="s">
        <v>3463</v>
      </c>
      <c r="BK10" s="108">
        <f>IF(BK9=BJ13,0,BI10)</f>
        <v>11</v>
      </c>
      <c r="BM10" s="109" t="s">
        <v>3733</v>
      </c>
      <c r="BN10" s="109">
        <f ca="1">BT11</f>
        <v>11.868907184637903</v>
      </c>
      <c r="BP10" s="109" t="s">
        <v>1</v>
      </c>
      <c r="BS10" s="109" t="s">
        <v>3731</v>
      </c>
      <c r="BT10" s="109">
        <f ca="1">BT81</f>
        <v>10.157333711617344</v>
      </c>
    </row>
    <row r="11" spans="1:183">
      <c r="A11" s="108">
        <v>4</v>
      </c>
      <c r="B11" s="108" t="str">
        <f t="shared" si="0"/>
        <v>α leo</v>
      </c>
      <c r="C11" s="108">
        <f t="shared" si="1"/>
        <v>0</v>
      </c>
      <c r="F11" s="108" t="s">
        <v>65</v>
      </c>
      <c r="G11" s="108">
        <v>18</v>
      </c>
      <c r="H11" s="108">
        <v>58</v>
      </c>
      <c r="I11" s="108">
        <v>56.3</v>
      </c>
      <c r="J11" s="108">
        <v>0</v>
      </c>
      <c r="K11" s="108">
        <v>0</v>
      </c>
      <c r="L11" s="108">
        <v>0</v>
      </c>
      <c r="M11" s="108" t="s">
        <v>66</v>
      </c>
      <c r="N11" s="108" t="s">
        <v>67</v>
      </c>
      <c r="S11" s="108" t="s">
        <v>68</v>
      </c>
      <c r="W11" s="108" t="s">
        <v>69</v>
      </c>
      <c r="Y11" s="108" t="str">
        <f>IF(Y10=X7,"α",Y6)</f>
        <v>α</v>
      </c>
      <c r="AA11" s="108" t="s">
        <v>70</v>
      </c>
      <c r="AB11" s="108" t="s">
        <v>71</v>
      </c>
      <c r="AC11" s="108" t="s">
        <v>72</v>
      </c>
      <c r="AD11" s="108" t="s">
        <v>73</v>
      </c>
      <c r="AE11" s="108" t="s">
        <v>74</v>
      </c>
      <c r="AI11" s="108" t="s">
        <v>75</v>
      </c>
      <c r="AM11" s="108"/>
      <c r="AN11" s="108"/>
      <c r="AO11" s="108"/>
      <c r="AP11" s="108"/>
      <c r="AQ11" s="108"/>
      <c r="AR11" s="108"/>
      <c r="AS11" s="108"/>
      <c r="AT11" s="108"/>
      <c r="AU11" s="108"/>
      <c r="AV11" s="109" t="s">
        <v>3488</v>
      </c>
      <c r="AW11" s="108"/>
      <c r="AX11" s="108"/>
      <c r="AY11" s="108"/>
      <c r="AZ11" s="108"/>
      <c r="BA11" s="108"/>
      <c r="BB11" s="108"/>
      <c r="BC11" s="108"/>
      <c r="BE11" s="108">
        <f>AJ40</f>
        <v>8</v>
      </c>
      <c r="BF11" s="108" t="s">
        <v>14</v>
      </c>
      <c r="BG11" s="108" t="b">
        <f>ISNUMBER(BE11)</f>
        <v>1</v>
      </c>
      <c r="BI11" s="108">
        <f>AJ44</f>
        <v>58</v>
      </c>
      <c r="BJ11" s="108" t="s">
        <v>14</v>
      </c>
      <c r="BK11" s="108" t="b">
        <f>ISNUMBER(BI11)</f>
        <v>1</v>
      </c>
      <c r="BM11" s="109" t="s">
        <v>3734</v>
      </c>
      <c r="BP11" s="108" t="s">
        <v>3502</v>
      </c>
      <c r="BQ11" s="108">
        <f>BN12</f>
        <v>2020</v>
      </c>
      <c r="BS11" s="109" t="s">
        <v>3733</v>
      </c>
      <c r="BT11" s="109">
        <f ca="1">BT32</f>
        <v>11.868907184637903</v>
      </c>
    </row>
    <row r="12" spans="1:183">
      <c r="A12" s="108">
        <v>5</v>
      </c>
      <c r="B12" s="108" t="str">
        <f t="shared" si="0"/>
        <v>α leo</v>
      </c>
      <c r="C12" s="108">
        <f t="shared" si="1"/>
        <v>0</v>
      </c>
      <c r="F12" s="108" t="s">
        <v>76</v>
      </c>
      <c r="G12" s="108">
        <v>0</v>
      </c>
      <c r="H12" s="108">
        <v>0</v>
      </c>
      <c r="I12" s="108">
        <v>1</v>
      </c>
      <c r="J12" s="108">
        <v>0</v>
      </c>
      <c r="K12" s="108">
        <v>0</v>
      </c>
      <c r="L12" s="108">
        <v>0</v>
      </c>
      <c r="M12" s="108" t="s">
        <v>66</v>
      </c>
      <c r="N12" s="108" t="s">
        <v>67</v>
      </c>
      <c r="W12" s="108" t="s">
        <v>77</v>
      </c>
      <c r="AA12" s="108" t="s">
        <v>78</v>
      </c>
      <c r="AB12" s="108" t="s">
        <v>79</v>
      </c>
      <c r="AC12" s="108" t="s">
        <v>80</v>
      </c>
      <c r="AD12" s="108" t="s">
        <v>81</v>
      </c>
      <c r="AE12" s="108" t="s">
        <v>82</v>
      </c>
      <c r="AJ12" s="108" t="str">
        <f>Y15</f>
        <v>a</v>
      </c>
      <c r="AM12" s="108"/>
      <c r="AN12" s="109" t="s">
        <v>3850</v>
      </c>
      <c r="AO12" s="108"/>
      <c r="AP12" s="108"/>
      <c r="AQ12" s="108"/>
      <c r="AR12" s="108"/>
      <c r="AS12" s="109"/>
      <c r="AT12" s="109"/>
      <c r="AU12" s="109"/>
      <c r="AV12" s="109" t="s">
        <v>4016</v>
      </c>
      <c r="AW12" s="109"/>
      <c r="AX12" s="109"/>
      <c r="AY12" s="108"/>
      <c r="AZ12" s="108"/>
      <c r="BA12" s="108"/>
      <c r="BB12" s="108"/>
      <c r="BC12" s="108"/>
      <c r="BE12" s="108">
        <f>AJ41</f>
        <v>22.3</v>
      </c>
      <c r="BF12" s="108" t="s">
        <v>3462</v>
      </c>
      <c r="BG12" s="108">
        <f>IF(BG11=BF13,0,BE11)</f>
        <v>8</v>
      </c>
      <c r="BI12" s="108">
        <f>AJ45</f>
        <v>2</v>
      </c>
      <c r="BJ12" s="108" t="s">
        <v>3462</v>
      </c>
      <c r="BK12" s="108">
        <f>IF(BK11=BJ13,0,BI11)</f>
        <v>58</v>
      </c>
      <c r="BM12" s="108" t="s">
        <v>3502</v>
      </c>
      <c r="BN12" s="108">
        <f>CF84</f>
        <v>2020</v>
      </c>
      <c r="BP12" s="109" t="s">
        <v>3735</v>
      </c>
    </row>
    <row r="13" spans="1:183">
      <c r="A13" s="108">
        <v>6</v>
      </c>
      <c r="B13" s="108" t="str">
        <f t="shared" si="0"/>
        <v>α leo</v>
      </c>
      <c r="C13" s="108">
        <f t="shared" si="1"/>
        <v>0</v>
      </c>
      <c r="F13" s="108" t="s">
        <v>83</v>
      </c>
      <c r="G13" s="108" t="s">
        <v>66</v>
      </c>
      <c r="H13" s="108" t="s">
        <v>67</v>
      </c>
      <c r="I13" s="108" t="s">
        <v>66</v>
      </c>
      <c r="J13" s="108" t="s">
        <v>67</v>
      </c>
      <c r="K13" s="108" t="s">
        <v>66</v>
      </c>
      <c r="L13" s="108" t="s">
        <v>67</v>
      </c>
      <c r="M13" s="108" t="s">
        <v>66</v>
      </c>
      <c r="N13" s="108" t="s">
        <v>67</v>
      </c>
      <c r="S13" s="109" t="s">
        <v>49</v>
      </c>
      <c r="T13" s="108" t="str">
        <f>IF(T9=0,"  ",T9)</f>
        <v>α leo</v>
      </c>
      <c r="W13" s="108" t="s">
        <v>44</v>
      </c>
      <c r="Y13" s="108" t="str">
        <f>LOOKUP(Y11,(X20:X266),(Y20:Y266))</f>
        <v>a</v>
      </c>
      <c r="AA13" s="108" t="s">
        <v>84</v>
      </c>
      <c r="AB13" s="108" t="s">
        <v>85</v>
      </c>
      <c r="AC13" s="108" t="s">
        <v>84</v>
      </c>
      <c r="AD13" s="108" t="s">
        <v>86</v>
      </c>
      <c r="AE13" s="108" t="s">
        <v>87</v>
      </c>
      <c r="AI13" s="108" t="s">
        <v>88</v>
      </c>
      <c r="AJ13" s="108" t="str">
        <f>LOOKUP(AJ12,(AA7:AA84),(AA7:AA84))</f>
        <v>a</v>
      </c>
      <c r="AM13" s="108"/>
      <c r="AN13" s="108"/>
      <c r="AO13" s="108"/>
      <c r="AP13" s="108"/>
      <c r="AQ13" s="108"/>
      <c r="AR13" s="108" t="s">
        <v>3485</v>
      </c>
      <c r="AS13" s="108"/>
      <c r="AT13" s="108" t="s">
        <v>3486</v>
      </c>
      <c r="AU13" s="108"/>
      <c r="AV13" s="108" t="s">
        <v>3489</v>
      </c>
      <c r="AW13" s="108"/>
      <c r="AX13" s="108" t="s">
        <v>3479</v>
      </c>
      <c r="AY13" s="108"/>
      <c r="AZ13" s="108"/>
      <c r="BA13" s="108"/>
      <c r="BB13" s="108"/>
      <c r="BC13" s="108"/>
      <c r="BE13" s="108">
        <f ca="1">Φύλλο1!BC227</f>
        <v>1</v>
      </c>
      <c r="BF13" s="108" t="b">
        <v>0</v>
      </c>
      <c r="BG13" s="108" t="b">
        <f>ISNUMBER(BE12)</f>
        <v>1</v>
      </c>
      <c r="BJ13" s="108" t="b">
        <v>0</v>
      </c>
      <c r="BK13" s="108" t="b">
        <f>ISNUMBER(BI12)</f>
        <v>1</v>
      </c>
      <c r="BM13" s="108" t="s">
        <v>3900</v>
      </c>
      <c r="BN13" s="108">
        <f>BE29</f>
        <v>10.139527777777777</v>
      </c>
      <c r="BP13" s="108" t="s">
        <v>3901</v>
      </c>
      <c r="BQ13" s="108">
        <f ca="1">BN19</f>
        <v>149.82901271930717</v>
      </c>
    </row>
    <row r="14" spans="1:183">
      <c r="A14" s="108">
        <v>7</v>
      </c>
      <c r="B14" s="108" t="str">
        <f t="shared" si="0"/>
        <v>α leo</v>
      </c>
      <c r="C14" s="108">
        <f t="shared" si="1"/>
        <v>0</v>
      </c>
      <c r="F14" s="108" t="s">
        <v>89</v>
      </c>
      <c r="G14" s="108" t="s">
        <v>66</v>
      </c>
      <c r="H14" s="108" t="s">
        <v>67</v>
      </c>
      <c r="I14" s="108" t="s">
        <v>66</v>
      </c>
      <c r="J14" s="108" t="s">
        <v>67</v>
      </c>
      <c r="K14" s="108" t="s">
        <v>66</v>
      </c>
      <c r="L14" s="108" t="s">
        <v>67</v>
      </c>
      <c r="M14" s="108" t="s">
        <v>66</v>
      </c>
      <c r="N14" s="108" t="s">
        <v>67</v>
      </c>
      <c r="S14" s="109" t="s">
        <v>11</v>
      </c>
      <c r="T14" s="108" t="str">
        <f>IF(T10=0,"  ",T10)</f>
        <v xml:space="preserve">  </v>
      </c>
      <c r="AA14" s="108" t="s">
        <v>90</v>
      </c>
      <c r="AB14" s="108" t="s">
        <v>91</v>
      </c>
      <c r="AC14" s="108" t="s">
        <v>92</v>
      </c>
      <c r="AD14" s="108" t="s">
        <v>93</v>
      </c>
      <c r="AE14" s="108" t="s">
        <v>94</v>
      </c>
      <c r="AI14" s="108" t="s">
        <v>95</v>
      </c>
      <c r="AJ14" s="108">
        <f>IF(AJ13=AJ12,1,"a")</f>
        <v>1</v>
      </c>
      <c r="AM14" s="108"/>
      <c r="AN14" s="108"/>
      <c r="AO14" s="108"/>
      <c r="AP14" s="108"/>
      <c r="AQ14" s="108"/>
      <c r="AR14" s="108" t="s">
        <v>13</v>
      </c>
      <c r="AS14" s="108">
        <f ca="1">DI74</f>
        <v>10</v>
      </c>
      <c r="AT14" s="108">
        <f>BE53</f>
        <v>0</v>
      </c>
      <c r="AU14" s="108"/>
      <c r="AV14" s="108">
        <f ca="1">IF(AT14=0,AS14,"")</f>
        <v>10</v>
      </c>
      <c r="AW14" s="108"/>
      <c r="AX14" s="108">
        <f ca="1">AW25</f>
        <v>45.401361822438787</v>
      </c>
      <c r="AY14" s="108">
        <f ca="1">IF(AX14=0,"",AV14)</f>
        <v>10</v>
      </c>
      <c r="AZ14" s="108"/>
      <c r="BA14" s="108"/>
      <c r="BB14" s="108"/>
      <c r="BC14" s="108"/>
      <c r="BE14" s="108">
        <f>BE10+BE11+BE12</f>
        <v>40.299999999999997</v>
      </c>
      <c r="BG14" s="108">
        <f>IF(BG13=BF13,0,BE12)</f>
        <v>22.3</v>
      </c>
      <c r="BK14" s="108">
        <f>IF(BK13=BJ13,0,BI12)</f>
        <v>2</v>
      </c>
      <c r="BM14" s="108" t="s">
        <v>3902</v>
      </c>
      <c r="BN14" s="108">
        <f>BI29</f>
        <v>11.967222222222222</v>
      </c>
      <c r="BP14" s="108" t="s">
        <v>3903</v>
      </c>
      <c r="BQ14" s="108">
        <f ca="1">BN20</f>
        <v>0.45945359487488874</v>
      </c>
      <c r="BS14" s="109" t="s">
        <v>3736</v>
      </c>
      <c r="DD14" s="109" t="s">
        <v>3659</v>
      </c>
      <c r="DE14" s="109">
        <f ca="1">DE141</f>
        <v>307.06074194237732</v>
      </c>
      <c r="DH14" s="109" t="s">
        <v>3798</v>
      </c>
    </row>
    <row r="15" spans="1:183">
      <c r="A15" s="108">
        <v>8</v>
      </c>
      <c r="B15" s="108" t="str">
        <f t="shared" si="0"/>
        <v>α leo</v>
      </c>
      <c r="C15" s="108">
        <f t="shared" si="1"/>
        <v>0</v>
      </c>
      <c r="F15" s="108" t="s">
        <v>96</v>
      </c>
      <c r="G15" s="108" t="s">
        <v>66</v>
      </c>
      <c r="H15" s="108" t="s">
        <v>67</v>
      </c>
      <c r="I15" s="108" t="s">
        <v>66</v>
      </c>
      <c r="J15" s="108" t="s">
        <v>67</v>
      </c>
      <c r="K15" s="108" t="s">
        <v>66</v>
      </c>
      <c r="L15" s="108" t="s">
        <v>67</v>
      </c>
      <c r="M15" s="108" t="s">
        <v>66</v>
      </c>
      <c r="N15" s="108" t="s">
        <v>67</v>
      </c>
      <c r="W15" s="108" t="s">
        <v>97</v>
      </c>
      <c r="Y15" s="108" t="str">
        <f>IF(Y10=X7,Y6,Y13)</f>
        <v>a</v>
      </c>
      <c r="AA15" s="108" t="s">
        <v>98</v>
      </c>
      <c r="AB15" s="108" t="s">
        <v>99</v>
      </c>
      <c r="AC15" s="108" t="s">
        <v>100</v>
      </c>
      <c r="AD15" s="108" t="s">
        <v>101</v>
      </c>
      <c r="AE15" s="108" t="s">
        <v>102</v>
      </c>
      <c r="AI15" s="108" t="s">
        <v>103</v>
      </c>
      <c r="AJ15" s="108" t="b">
        <f>ISNUMBER(AJ14)</f>
        <v>1</v>
      </c>
      <c r="AM15" s="108"/>
      <c r="AN15" s="108"/>
      <c r="AO15" s="108"/>
      <c r="AP15" s="108"/>
      <c r="AQ15" s="108"/>
      <c r="AR15" s="108" t="s">
        <v>14</v>
      </c>
      <c r="AS15" s="108">
        <f ca="1">DI75</f>
        <v>9</v>
      </c>
      <c r="AT15" s="108">
        <f>AT14</f>
        <v>0</v>
      </c>
      <c r="AU15" s="108"/>
      <c r="AV15" s="108">
        <f t="shared" ref="AV15:AV16" ca="1" si="2">IF(AT15=0,AS15,"")</f>
        <v>9</v>
      </c>
      <c r="AW15" s="108"/>
      <c r="AX15" s="108">
        <f ca="1">AX14</f>
        <v>45.401361822438787</v>
      </c>
      <c r="AY15" s="108">
        <f t="shared" ref="AY15:AY16" ca="1" si="3">IF(AX15=0,"",AV15)</f>
        <v>9</v>
      </c>
      <c r="AZ15" s="108"/>
      <c r="BA15" s="108"/>
      <c r="BB15" s="108"/>
      <c r="BC15" s="108"/>
      <c r="BE15" s="108">
        <f ca="1">BE14*BE13</f>
        <v>40.299999999999997</v>
      </c>
      <c r="BF15" s="108" t="s">
        <v>3464</v>
      </c>
      <c r="BG15" s="108">
        <f>IF(BG10&lt;0,0,1)</f>
        <v>1</v>
      </c>
      <c r="BJ15" s="108" t="s">
        <v>3464</v>
      </c>
      <c r="BK15" s="108">
        <f>IF(BK10&lt;0,0,1)</f>
        <v>1</v>
      </c>
      <c r="BN15" s="108" t="s">
        <v>3449</v>
      </c>
      <c r="BS15" s="108" t="s">
        <v>3737</v>
      </c>
      <c r="BT15" s="108">
        <f ca="1">BQ24</f>
        <v>150.10823494152939</v>
      </c>
      <c r="DD15" s="109" t="s">
        <v>3714</v>
      </c>
      <c r="DE15" s="108" t="str">
        <f>DE30</f>
        <v/>
      </c>
      <c r="DH15" s="109"/>
      <c r="DI15" s="109" t="s">
        <v>3814</v>
      </c>
      <c r="DJ15" s="109"/>
      <c r="DT15" s="109"/>
    </row>
    <row r="16" spans="1:183">
      <c r="A16" s="108">
        <v>9</v>
      </c>
      <c r="B16" s="108" t="str">
        <f t="shared" si="0"/>
        <v>α leo</v>
      </c>
      <c r="C16" s="108">
        <f t="shared" si="1"/>
        <v>0</v>
      </c>
      <c r="F16" s="108" t="s">
        <v>104</v>
      </c>
      <c r="G16" s="108" t="s">
        <v>66</v>
      </c>
      <c r="H16" s="108" t="s">
        <v>67</v>
      </c>
      <c r="I16" s="108" t="s">
        <v>66</v>
      </c>
      <c r="J16" s="108" t="s">
        <v>67</v>
      </c>
      <c r="K16" s="108" t="s">
        <v>66</v>
      </c>
      <c r="L16" s="108" t="s">
        <v>67</v>
      </c>
      <c r="M16" s="108" t="s">
        <v>66</v>
      </c>
      <c r="N16" s="108" t="s">
        <v>67</v>
      </c>
      <c r="R16" s="109" t="s">
        <v>49</v>
      </c>
      <c r="S16" s="109" t="s">
        <v>105</v>
      </c>
      <c r="T16" s="108" t="str">
        <f>T13</f>
        <v>α leo</v>
      </c>
      <c r="AA16" s="108" t="s">
        <v>106</v>
      </c>
      <c r="AB16" s="108" t="s">
        <v>107</v>
      </c>
      <c r="AC16" s="108" t="s">
        <v>108</v>
      </c>
      <c r="AD16" s="108" t="s">
        <v>109</v>
      </c>
      <c r="AE16" s="108" t="s">
        <v>110</v>
      </c>
      <c r="AI16" s="108" t="b">
        <v>0</v>
      </c>
      <c r="AM16" s="108"/>
      <c r="AN16" s="108"/>
      <c r="AO16" s="108"/>
      <c r="AP16" s="108"/>
      <c r="AQ16" s="108"/>
      <c r="AR16" s="108" t="s">
        <v>3462</v>
      </c>
      <c r="AS16" s="108">
        <f ca="1">DI76</f>
        <v>26.401361822438787</v>
      </c>
      <c r="AT16" s="108">
        <f>AT15</f>
        <v>0</v>
      </c>
      <c r="AU16" s="108"/>
      <c r="AV16" s="108">
        <f t="shared" ca="1" si="2"/>
        <v>26.401361822438787</v>
      </c>
      <c r="AW16" s="108"/>
      <c r="AX16" s="108">
        <f ca="1">AX15</f>
        <v>45.401361822438787</v>
      </c>
      <c r="AY16" s="108">
        <f t="shared" ca="1" si="3"/>
        <v>26.401361822438787</v>
      </c>
      <c r="AZ16" s="108"/>
      <c r="BA16" s="108"/>
      <c r="BB16" s="108"/>
      <c r="BC16" s="108"/>
      <c r="BF16" s="108">
        <v>3523528</v>
      </c>
      <c r="BG16" s="108">
        <f>IF(BG12&lt;0,0,1)</f>
        <v>1</v>
      </c>
      <c r="BK16" s="108">
        <f>IF(BK12&lt;0,0,1)</f>
        <v>1</v>
      </c>
      <c r="BP16" s="108" t="s">
        <v>3738</v>
      </c>
      <c r="BQ16" s="108">
        <v>50.26</v>
      </c>
      <c r="BS16" s="108" t="s">
        <v>3904</v>
      </c>
      <c r="BT16" s="108">
        <f ca="1">BQ25</f>
        <v>0.45945359487488874</v>
      </c>
      <c r="BX16" s="109" t="s">
        <v>3536</v>
      </c>
      <c r="CB16" s="109" t="s">
        <v>3537</v>
      </c>
      <c r="DD16" s="109" t="s">
        <v>3660</v>
      </c>
      <c r="DE16" s="108">
        <f ca="1">DE142</f>
        <v>-23.17166833781301</v>
      </c>
      <c r="DJ16" s="108" t="s">
        <v>3508</v>
      </c>
      <c r="DK16" s="108" t="b">
        <f ca="1">ISNUMBER(DI24)</f>
        <v>1</v>
      </c>
      <c r="DN16" s="108">
        <f ca="1">DK21</f>
        <v>8.7626643938957258</v>
      </c>
      <c r="DR16" s="108">
        <f ca="1">DO53</f>
        <v>45.759863633743549</v>
      </c>
      <c r="DV16" s="108" t="s">
        <v>3508</v>
      </c>
      <c r="DW16" s="108" t="b">
        <f>ISNUMBER(DU24)</f>
        <v>1</v>
      </c>
      <c r="DZ16" s="108">
        <f>DW21</f>
        <v>13.032539999999999</v>
      </c>
      <c r="ED16" s="108">
        <f>EA53</f>
        <v>1.9523999999999475</v>
      </c>
    </row>
    <row r="17" spans="1:135" ht="18.75">
      <c r="A17" s="108">
        <v>10</v>
      </c>
      <c r="B17" s="108" t="str">
        <f t="shared" si="0"/>
        <v>α leo</v>
      </c>
      <c r="C17" s="108">
        <f t="shared" si="1"/>
        <v>0</v>
      </c>
      <c r="F17" s="108" t="s">
        <v>111</v>
      </c>
      <c r="G17" s="108" t="s">
        <v>66</v>
      </c>
      <c r="H17" s="108" t="s">
        <v>67</v>
      </c>
      <c r="I17" s="108" t="s">
        <v>66</v>
      </c>
      <c r="J17" s="108" t="s">
        <v>67</v>
      </c>
      <c r="K17" s="108" t="s">
        <v>66</v>
      </c>
      <c r="L17" s="108" t="s">
        <v>67</v>
      </c>
      <c r="M17" s="108" t="s">
        <v>66</v>
      </c>
      <c r="N17" s="108" t="s">
        <v>67</v>
      </c>
      <c r="R17" s="108" t="s">
        <v>4004</v>
      </c>
      <c r="S17" s="108" t="s">
        <v>112</v>
      </c>
      <c r="T17" s="108" t="str">
        <f>LEFT(T16,(FIND(" ",T16,1)-1))</f>
        <v>α</v>
      </c>
      <c r="AA17" s="108" t="s">
        <v>113</v>
      </c>
      <c r="AB17" s="108" t="s">
        <v>114</v>
      </c>
      <c r="AC17" s="108" t="s">
        <v>115</v>
      </c>
      <c r="AD17" s="108" t="s">
        <v>116</v>
      </c>
      <c r="AE17" s="108" t="s">
        <v>117</v>
      </c>
      <c r="AM17" s="108"/>
      <c r="AN17" s="108"/>
      <c r="AO17" s="108"/>
      <c r="AP17" s="108"/>
      <c r="AQ17" s="108"/>
      <c r="AR17" s="108" t="s">
        <v>3450</v>
      </c>
      <c r="AS17" s="108"/>
      <c r="AT17" s="108" t="s">
        <v>3487</v>
      </c>
      <c r="AU17" s="108"/>
      <c r="AV17" s="108" t="s">
        <v>3450</v>
      </c>
      <c r="AW17" s="108"/>
      <c r="AX17" s="108" t="s">
        <v>3479</v>
      </c>
      <c r="AY17" s="108"/>
      <c r="AZ17" s="108"/>
      <c r="BA17" s="108"/>
      <c r="BB17" s="108"/>
      <c r="BC17" s="108"/>
      <c r="BG17" s="108">
        <f>IF(BG14&lt;0,0,1)</f>
        <v>1</v>
      </c>
      <c r="BK17" s="108">
        <f>IF(BK14&lt;0,0,1)</f>
        <v>1</v>
      </c>
      <c r="BP17" s="108" t="s">
        <v>3739</v>
      </c>
      <c r="BQ17" s="108">
        <v>1296000</v>
      </c>
      <c r="BT17" s="108" t="s">
        <v>3449</v>
      </c>
      <c r="BX17" s="108" t="s">
        <v>3905</v>
      </c>
      <c r="CB17" s="108" t="s">
        <v>3538</v>
      </c>
      <c r="CE17" s="109"/>
      <c r="CL17" s="109" t="s">
        <v>3539</v>
      </c>
      <c r="CO17" s="109" t="s">
        <v>3906</v>
      </c>
      <c r="DD17" s="109" t="s">
        <v>3713</v>
      </c>
      <c r="DE17" s="108" t="str">
        <f ca="1">DE143</f>
        <v>Είναι κάτω από τον ορίζοντα!!!</v>
      </c>
      <c r="DJ17" s="108" t="b">
        <v>0</v>
      </c>
      <c r="DK17" s="108">
        <f ca="1">IF(DK16=DJ17,0,DI24)</f>
        <v>8.7626643938957258</v>
      </c>
      <c r="DM17" s="108">
        <v>900</v>
      </c>
      <c r="DN17" s="108">
        <f ca="1">IF(DN16&lt;DM17,DN16,-1)</f>
        <v>8.7626643938957258</v>
      </c>
      <c r="DO17" s="108">
        <f ca="1">IF(DN17=-1,100,0)</f>
        <v>0</v>
      </c>
      <c r="DQ17" s="108">
        <v>90</v>
      </c>
      <c r="DR17" s="108">
        <f ca="1">IF(DR16&lt;DQ17,DR16,-1)</f>
        <v>45.759863633743549</v>
      </c>
      <c r="DS17" s="108">
        <f ca="1">IF(DR17=-1,10,0)</f>
        <v>0</v>
      </c>
      <c r="DV17" s="108" t="b">
        <v>0</v>
      </c>
      <c r="DW17" s="108">
        <f>IF(DW16=DV17,0,DU24)</f>
        <v>13.032539999999999</v>
      </c>
      <c r="DY17" s="108">
        <v>900</v>
      </c>
      <c r="DZ17" s="108">
        <f>IF(DZ16&lt;DY17,DZ16,-1)</f>
        <v>13.032539999999999</v>
      </c>
      <c r="EA17" s="108">
        <f>IF(DZ17=-1,100,0)</f>
        <v>0</v>
      </c>
      <c r="EC17" s="108">
        <v>90</v>
      </c>
      <c r="ED17" s="108">
        <f>IF(ED16&lt;EC17,ED16,-1)</f>
        <v>1.9523999999999475</v>
      </c>
      <c r="EE17" s="108">
        <f>IF(ED17=-1,10,0)</f>
        <v>0</v>
      </c>
    </row>
    <row r="18" spans="1:135">
      <c r="A18" s="108">
        <v>11</v>
      </c>
      <c r="B18" s="108" t="str">
        <f t="shared" si="0"/>
        <v>α leo</v>
      </c>
      <c r="C18" s="108">
        <f t="shared" si="1"/>
        <v>0</v>
      </c>
      <c r="F18" s="108" t="s">
        <v>80</v>
      </c>
      <c r="M18" s="108" t="s">
        <v>118</v>
      </c>
      <c r="N18" s="108" t="s">
        <v>78</v>
      </c>
      <c r="R18" s="108" t="s">
        <v>4005</v>
      </c>
      <c r="S18" s="108" t="s">
        <v>119</v>
      </c>
      <c r="T18" s="108" t="str">
        <f>MID(T16,FIND(" ",T16)+1,256)</f>
        <v>leo</v>
      </c>
      <c r="AA18" s="108" t="s">
        <v>120</v>
      </c>
      <c r="AB18" s="108" t="s">
        <v>121</v>
      </c>
      <c r="AC18" s="108" t="s">
        <v>122</v>
      </c>
      <c r="AD18" s="108" t="s">
        <v>123</v>
      </c>
      <c r="AE18" s="108" t="s">
        <v>124</v>
      </c>
      <c r="AI18" s="108" t="s">
        <v>125</v>
      </c>
      <c r="AJ18" s="108" t="str">
        <f>IF(AJ15=AI16,"ZZZ",AJ13)</f>
        <v>a</v>
      </c>
      <c r="AM18" s="108"/>
      <c r="AN18" s="108"/>
      <c r="AO18" s="108"/>
      <c r="AP18" s="108"/>
      <c r="AQ18" s="108"/>
      <c r="AR18" s="108" t="s">
        <v>16</v>
      </c>
      <c r="AS18" s="108">
        <f ca="1">DU74</f>
        <v>11</v>
      </c>
      <c r="AT18" s="108">
        <f>AT16</f>
        <v>0</v>
      </c>
      <c r="AU18" s="108"/>
      <c r="AV18" s="108">
        <f ca="1">IF(AT18=0,AS18,"")</f>
        <v>11</v>
      </c>
      <c r="AW18" s="108"/>
      <c r="AX18" s="108">
        <f ca="1">AW25</f>
        <v>45.401361822438787</v>
      </c>
      <c r="AY18" s="108">
        <f ca="1">IF(AX18=0,"",AV18)</f>
        <v>11</v>
      </c>
      <c r="AZ18" s="108"/>
      <c r="BA18" s="108"/>
      <c r="BB18" s="108"/>
      <c r="BC18" s="108"/>
      <c r="BF18" s="108" t="s">
        <v>3465</v>
      </c>
      <c r="BG18" s="108">
        <f>BG15+BG16+BG17</f>
        <v>3</v>
      </c>
      <c r="BJ18" s="108" t="s">
        <v>3465</v>
      </c>
      <c r="BK18" s="108">
        <f>BK15+BK16+BK17</f>
        <v>3</v>
      </c>
      <c r="BP18" s="108" t="s">
        <v>3740</v>
      </c>
      <c r="BQ18" s="108">
        <f>BQ11-2000</f>
        <v>20</v>
      </c>
      <c r="BS18" s="108" t="s">
        <v>3741</v>
      </c>
      <c r="BT18" s="108">
        <v>23.45</v>
      </c>
      <c r="BX18" s="108" t="s">
        <v>3907</v>
      </c>
      <c r="CB18" s="108" t="s">
        <v>3908</v>
      </c>
      <c r="CC18" s="108">
        <v>6.0000000000000002E-5</v>
      </c>
      <c r="CL18" s="108" t="s">
        <v>3909</v>
      </c>
      <c r="CM18" s="108">
        <f>CP63</f>
        <v>17.299701507404215</v>
      </c>
      <c r="CO18" s="109" t="s">
        <v>3910</v>
      </c>
      <c r="DJ18" s="108" t="s">
        <v>3799</v>
      </c>
      <c r="DK18" s="108">
        <f ca="1">-1*DK17</f>
        <v>-8.7626643938957258</v>
      </c>
      <c r="DM18" s="108">
        <v>800</v>
      </c>
      <c r="DN18" s="108">
        <f t="shared" ref="DN18:DN25" ca="1" si="4">IF(DN17&lt;DM18,DN17,-1)</f>
        <v>8.7626643938957258</v>
      </c>
      <c r="DO18" s="108">
        <f t="shared" ref="DO18:DO25" ca="1" si="5">IF(DN18=-1,100,0)</f>
        <v>0</v>
      </c>
      <c r="DQ18" s="108">
        <v>80</v>
      </c>
      <c r="DR18" s="108">
        <f t="shared" ref="DR18:DR25" ca="1" si="6">IF(DR17&lt;DQ18,DR17,-1)</f>
        <v>45.759863633743549</v>
      </c>
      <c r="DS18" s="108">
        <f t="shared" ref="DS18:DS25" ca="1" si="7">IF(DR18=-1,10,0)</f>
        <v>0</v>
      </c>
      <c r="DV18" s="108" t="s">
        <v>3799</v>
      </c>
      <c r="DW18" s="108">
        <f>-1*DW17</f>
        <v>-13.032539999999999</v>
      </c>
      <c r="DY18" s="108">
        <v>800</v>
      </c>
      <c r="DZ18" s="108">
        <f t="shared" ref="DZ18:DZ25" si="8">IF(DZ17&lt;DY18,DZ17,-1)</f>
        <v>13.032539999999999</v>
      </c>
      <c r="EA18" s="108">
        <f t="shared" ref="EA18:EA25" si="9">IF(DZ18=-1,100,0)</f>
        <v>0</v>
      </c>
      <c r="EC18" s="108">
        <v>80</v>
      </c>
      <c r="ED18" s="108">
        <f t="shared" ref="ED18:ED25" si="10">IF(ED17&lt;EC18,ED17,-1)</f>
        <v>1.9523999999999475</v>
      </c>
      <c r="EE18" s="108">
        <f t="shared" ref="EE18:EE25" si="11">IF(ED18=-1,10,0)</f>
        <v>0</v>
      </c>
    </row>
    <row r="19" spans="1:135">
      <c r="A19" s="108">
        <v>12</v>
      </c>
      <c r="B19" s="108" t="str">
        <f t="shared" si="0"/>
        <v>α leo</v>
      </c>
      <c r="C19" s="108">
        <f t="shared" si="1"/>
        <v>0</v>
      </c>
      <c r="F19" s="108" t="s">
        <v>126</v>
      </c>
      <c r="G19" s="117">
        <v>19</v>
      </c>
      <c r="H19" s="117">
        <v>50</v>
      </c>
      <c r="I19" s="118">
        <v>47</v>
      </c>
      <c r="J19" s="108">
        <v>8</v>
      </c>
      <c r="K19" s="108">
        <v>52</v>
      </c>
      <c r="L19" s="108">
        <v>6</v>
      </c>
      <c r="M19" s="108" t="s">
        <v>127</v>
      </c>
      <c r="N19" s="108" t="s">
        <v>128</v>
      </c>
      <c r="R19" s="108" t="s">
        <v>129</v>
      </c>
      <c r="T19" s="108">
        <f>IF(T17=0,"a",1)</f>
        <v>1</v>
      </c>
      <c r="X19" s="108" t="s">
        <v>130</v>
      </c>
      <c r="AA19" s="108" t="s">
        <v>131</v>
      </c>
      <c r="AB19" s="108" t="s">
        <v>132</v>
      </c>
      <c r="AC19" s="108" t="s">
        <v>133</v>
      </c>
      <c r="AD19" s="108" t="s">
        <v>134</v>
      </c>
      <c r="AE19" s="108" t="s">
        <v>135</v>
      </c>
      <c r="AI19" s="108" t="s">
        <v>136</v>
      </c>
      <c r="AJ19" s="108" t="str">
        <f>IF(AJ18=AA83,"a",AJ18)</f>
        <v>a</v>
      </c>
      <c r="AM19" s="108"/>
      <c r="AN19" s="108"/>
      <c r="AO19" s="108"/>
      <c r="AP19" s="108"/>
      <c r="AQ19" s="108"/>
      <c r="AR19" s="108" t="s">
        <v>14</v>
      </c>
      <c r="AS19" s="108">
        <f ca="1">DU75</f>
        <v>52</v>
      </c>
      <c r="AT19" s="108">
        <f>AT18</f>
        <v>0</v>
      </c>
      <c r="AU19" s="108"/>
      <c r="AV19" s="108">
        <f t="shared" ref="AV19:AV20" ca="1" si="12">IF(AT19=0,AS19,"")</f>
        <v>52</v>
      </c>
      <c r="AW19" s="108"/>
      <c r="AX19" s="108">
        <f ca="1">AX18</f>
        <v>45.401361822438787</v>
      </c>
      <c r="AY19" s="108">
        <f t="shared" ref="AY19:AY20" ca="1" si="13">IF(AX19=0,"",AV19)</f>
        <v>52</v>
      </c>
      <c r="AZ19" s="108"/>
      <c r="BA19" s="108"/>
      <c r="BB19" s="108"/>
      <c r="BC19" s="108"/>
      <c r="BF19" s="108" t="s">
        <v>3466</v>
      </c>
      <c r="BG19" s="108">
        <f>IF(BG10&gt;0,0,1)</f>
        <v>0</v>
      </c>
      <c r="BJ19" s="108" t="s">
        <v>3466</v>
      </c>
      <c r="BK19" s="108">
        <f>IF(BK10&gt;0,0,1)</f>
        <v>0</v>
      </c>
      <c r="BM19" s="109" t="s">
        <v>3742</v>
      </c>
      <c r="BN19" s="109">
        <f ca="1">BN86</f>
        <v>149.82901271930717</v>
      </c>
      <c r="BP19" s="108" t="s">
        <v>3743</v>
      </c>
      <c r="BQ19" s="108">
        <f>BQ18*BQ16</f>
        <v>1005.1999999999999</v>
      </c>
      <c r="BS19" s="108" t="s">
        <v>3744</v>
      </c>
      <c r="BT19" s="108">
        <v>0.39794863130761038</v>
      </c>
      <c r="BX19" s="108" t="s">
        <v>3540</v>
      </c>
      <c r="CB19" s="108" t="s">
        <v>3541</v>
      </c>
      <c r="CE19" s="109" t="s">
        <v>3542</v>
      </c>
      <c r="CL19" s="108" t="s">
        <v>3502</v>
      </c>
      <c r="CM19" s="108">
        <f>CF84</f>
        <v>2020</v>
      </c>
      <c r="CO19" s="108" t="s">
        <v>1</v>
      </c>
      <c r="CP19" s="108">
        <f>CM31</f>
        <v>2020</v>
      </c>
      <c r="DD19" s="108" t="s">
        <v>3911</v>
      </c>
      <c r="DJ19" s="108" t="s">
        <v>3800</v>
      </c>
      <c r="DK19" s="108">
        <f ca="1">IF(DK18&lt;0,DK17,DK18)</f>
        <v>8.7626643938957258</v>
      </c>
      <c r="DM19" s="108">
        <v>700</v>
      </c>
      <c r="DN19" s="108">
        <f t="shared" ca="1" si="4"/>
        <v>8.7626643938957258</v>
      </c>
      <c r="DO19" s="108">
        <f t="shared" ca="1" si="5"/>
        <v>0</v>
      </c>
      <c r="DQ19" s="108">
        <v>70</v>
      </c>
      <c r="DR19" s="108">
        <f t="shared" ca="1" si="6"/>
        <v>45.759863633743549</v>
      </c>
      <c r="DS19" s="108">
        <f t="shared" ca="1" si="7"/>
        <v>0</v>
      </c>
      <c r="DV19" s="108" t="s">
        <v>3800</v>
      </c>
      <c r="DW19" s="108">
        <f>IF(DW18&lt;0,DW17,DW18)</f>
        <v>13.032539999999999</v>
      </c>
      <c r="DY19" s="108">
        <v>700</v>
      </c>
      <c r="DZ19" s="108">
        <f t="shared" si="8"/>
        <v>13.032539999999999</v>
      </c>
      <c r="EA19" s="108">
        <f t="shared" si="9"/>
        <v>0</v>
      </c>
      <c r="EC19" s="108">
        <v>70</v>
      </c>
      <c r="ED19" s="108">
        <f t="shared" si="10"/>
        <v>1.9523999999999475</v>
      </c>
      <c r="EE19" s="108">
        <f t="shared" si="11"/>
        <v>0</v>
      </c>
    </row>
    <row r="20" spans="1:135">
      <c r="A20" s="108">
        <v>13</v>
      </c>
      <c r="B20" s="108" t="str">
        <f t="shared" si="0"/>
        <v>α leo</v>
      </c>
      <c r="C20" s="108">
        <f t="shared" si="1"/>
        <v>0</v>
      </c>
      <c r="F20" s="108" t="s">
        <v>137</v>
      </c>
      <c r="G20" s="108">
        <v>19</v>
      </c>
      <c r="H20" s="108">
        <v>55</v>
      </c>
      <c r="I20" s="108">
        <v>18.8</v>
      </c>
      <c r="J20" s="108">
        <v>6</v>
      </c>
      <c r="K20" s="108">
        <v>24</v>
      </c>
      <c r="L20" s="108">
        <v>24</v>
      </c>
      <c r="M20" s="108" t="s">
        <v>138</v>
      </c>
      <c r="N20" s="108" t="s">
        <v>139</v>
      </c>
      <c r="R20" s="108" t="s">
        <v>58</v>
      </c>
      <c r="S20" s="108" t="b">
        <v>0</v>
      </c>
      <c r="T20" s="108" t="b">
        <f>ISNUMBER(T19)</f>
        <v>1</v>
      </c>
      <c r="X20" s="108" t="s">
        <v>26</v>
      </c>
      <c r="Y20" s="108" t="s">
        <v>140</v>
      </c>
      <c r="AA20" s="108" t="s">
        <v>141</v>
      </c>
      <c r="AB20" s="108" t="s">
        <v>142</v>
      </c>
      <c r="AC20" s="108" t="s">
        <v>143</v>
      </c>
      <c r="AD20" s="108" t="s">
        <v>144</v>
      </c>
      <c r="AE20" s="108" t="s">
        <v>145</v>
      </c>
      <c r="AI20" s="109" t="s">
        <v>146</v>
      </c>
      <c r="AM20" s="108"/>
      <c r="AN20" s="108"/>
      <c r="AO20" s="108"/>
      <c r="AP20" s="108"/>
      <c r="AQ20" s="108"/>
      <c r="AR20" s="108" t="s">
        <v>3462</v>
      </c>
      <c r="AS20" s="108">
        <f ca="1">DU76</f>
        <v>8.0658646964518255</v>
      </c>
      <c r="AT20" s="108">
        <f>AT19</f>
        <v>0</v>
      </c>
      <c r="AU20" s="108"/>
      <c r="AV20" s="108">
        <f t="shared" ca="1" si="12"/>
        <v>8.0658646964518255</v>
      </c>
      <c r="AW20" s="108"/>
      <c r="AX20" s="108">
        <f ca="1">AX19</f>
        <v>45.401361822438787</v>
      </c>
      <c r="AY20" s="108">
        <f t="shared" ca="1" si="13"/>
        <v>8.0658646964518255</v>
      </c>
      <c r="AZ20" s="108"/>
      <c r="BA20" s="108"/>
      <c r="BB20" s="108"/>
      <c r="BC20" s="108"/>
      <c r="BG20" s="108">
        <f>IF(BG12&gt;0,0,1)</f>
        <v>0</v>
      </c>
      <c r="BK20" s="108">
        <f>IF(BK12&gt;0,0,1)</f>
        <v>0</v>
      </c>
      <c r="BM20" s="109" t="s">
        <v>3912</v>
      </c>
      <c r="BN20" s="109">
        <f ca="1">BN41</f>
        <v>0.45945359487488874</v>
      </c>
      <c r="BP20" s="108" t="s">
        <v>3745</v>
      </c>
      <c r="BQ20" s="108">
        <f>BQ19/3600</f>
        <v>0.27922222222222221</v>
      </c>
      <c r="BS20" s="108" t="s">
        <v>3746</v>
      </c>
      <c r="BT20" s="108">
        <v>0.91740769935748823</v>
      </c>
      <c r="BX20" s="108" t="s">
        <v>3543</v>
      </c>
      <c r="CB20" s="108" t="s">
        <v>3544</v>
      </c>
      <c r="CE20" s="109" t="s">
        <v>3913</v>
      </c>
      <c r="CF20" s="108">
        <f>Φύλλο2!Z124</f>
        <v>0</v>
      </c>
      <c r="CL20" s="108" t="s">
        <v>3530</v>
      </c>
      <c r="CM20" s="108">
        <f>CF21</f>
        <v>23.908000000000001</v>
      </c>
      <c r="CO20" s="108" t="s">
        <v>3502</v>
      </c>
      <c r="CP20" s="108" t="s">
        <v>3545</v>
      </c>
      <c r="DD20" s="108" t="s">
        <v>3662</v>
      </c>
      <c r="DE20" s="108">
        <f>Φύλλο2!AA124</f>
        <v>37</v>
      </c>
      <c r="DJ20" s="108" t="s">
        <v>3801</v>
      </c>
      <c r="DK20" s="109">
        <f ca="1">IF(DK17&lt;0,0,1)</f>
        <v>1</v>
      </c>
      <c r="DM20" s="108">
        <v>600</v>
      </c>
      <c r="DN20" s="108">
        <f t="shared" ca="1" si="4"/>
        <v>8.7626643938957258</v>
      </c>
      <c r="DO20" s="108">
        <f t="shared" ca="1" si="5"/>
        <v>0</v>
      </c>
      <c r="DQ20" s="108">
        <v>60</v>
      </c>
      <c r="DR20" s="108">
        <f t="shared" ca="1" si="6"/>
        <v>45.759863633743549</v>
      </c>
      <c r="DS20" s="108">
        <f t="shared" ca="1" si="7"/>
        <v>0</v>
      </c>
      <c r="DV20" s="108" t="s">
        <v>3801</v>
      </c>
      <c r="DW20" s="109">
        <f>IF(DW17&lt;0,0,1)</f>
        <v>1</v>
      </c>
      <c r="DY20" s="108">
        <v>600</v>
      </c>
      <c r="DZ20" s="108">
        <f t="shared" si="8"/>
        <v>13.032539999999999</v>
      </c>
      <c r="EA20" s="108">
        <f t="shared" si="9"/>
        <v>0</v>
      </c>
      <c r="EC20" s="108">
        <v>60</v>
      </c>
      <c r="ED20" s="108">
        <f t="shared" si="10"/>
        <v>1.9523999999999475</v>
      </c>
      <c r="EE20" s="108">
        <f t="shared" si="11"/>
        <v>0</v>
      </c>
    </row>
    <row r="21" spans="1:135">
      <c r="A21" s="108">
        <v>14</v>
      </c>
      <c r="B21" s="108" t="str">
        <f t="shared" si="0"/>
        <v>α leo</v>
      </c>
      <c r="C21" s="108">
        <f t="shared" si="1"/>
        <v>0</v>
      </c>
      <c r="F21" s="108" t="s">
        <v>147</v>
      </c>
      <c r="G21" s="108">
        <v>19</v>
      </c>
      <c r="H21" s="108">
        <v>46</v>
      </c>
      <c r="I21" s="108">
        <v>15.6</v>
      </c>
      <c r="J21" s="108">
        <v>10</v>
      </c>
      <c r="K21" s="108">
        <v>36</v>
      </c>
      <c r="L21" s="108">
        <v>48</v>
      </c>
      <c r="M21" s="108" t="s">
        <v>148</v>
      </c>
      <c r="N21" s="108" t="s">
        <v>149</v>
      </c>
      <c r="R21" s="108" t="s">
        <v>4006</v>
      </c>
      <c r="S21" s="108" t="s">
        <v>150</v>
      </c>
      <c r="T21" s="108" t="str">
        <f>IF(T20=S20,0,T17)</f>
        <v>α</v>
      </c>
      <c r="X21" s="108" t="s">
        <v>151</v>
      </c>
      <c r="Y21" s="108" t="s">
        <v>78</v>
      </c>
      <c r="AA21" s="108" t="s">
        <v>152</v>
      </c>
      <c r="AB21" s="108" t="s">
        <v>153</v>
      </c>
      <c r="AC21" s="108" t="s">
        <v>154</v>
      </c>
      <c r="AD21" s="108" t="s">
        <v>155</v>
      </c>
      <c r="AE21" s="108" t="s">
        <v>156</v>
      </c>
      <c r="AI21" s="108" t="s">
        <v>157</v>
      </c>
      <c r="AJ21" s="108" t="str">
        <f>LOOKUP(AJ18,(AA7:AA84),(AC7:AC84))</f>
        <v/>
      </c>
      <c r="AM21" s="108"/>
      <c r="AN21" s="108"/>
      <c r="AO21" s="108"/>
      <c r="AP21" s="108"/>
      <c r="AQ21" s="108"/>
      <c r="AR21" s="108"/>
      <c r="AS21" s="108"/>
      <c r="AT21" s="108"/>
      <c r="AU21" s="108"/>
      <c r="AV21" s="108" t="s">
        <v>3490</v>
      </c>
      <c r="AW21" s="108"/>
      <c r="AX21" s="108"/>
      <c r="AY21" s="108"/>
      <c r="AZ21" s="108"/>
      <c r="BA21" s="108"/>
      <c r="BB21" s="108"/>
      <c r="BC21" s="108"/>
      <c r="BG21" s="108">
        <f>IF(BG14&gt;0,0,1)</f>
        <v>0</v>
      </c>
      <c r="BK21" s="108">
        <f>IF(BK14&gt;0,0,1)</f>
        <v>0</v>
      </c>
      <c r="BP21" s="108" t="s">
        <v>3747</v>
      </c>
      <c r="BQ21" s="108">
        <f ca="1">BQ20+BQ13</f>
        <v>150.10823494152939</v>
      </c>
      <c r="BX21" s="108" t="s">
        <v>3546</v>
      </c>
      <c r="CB21" s="108" t="s">
        <v>3547</v>
      </c>
      <c r="CC21" s="108">
        <v>17.293611111111112</v>
      </c>
      <c r="CE21" s="108" t="s">
        <v>3530</v>
      </c>
      <c r="CF21" s="110">
        <f>Φύλλο2!AB124</f>
        <v>23.908000000000001</v>
      </c>
      <c r="CL21" s="108" t="s">
        <v>3503</v>
      </c>
      <c r="CM21" s="108">
        <f>CF85</f>
        <v>2</v>
      </c>
      <c r="CO21" s="108">
        <v>2000</v>
      </c>
      <c r="CP21" s="108">
        <v>17.293611111111112</v>
      </c>
      <c r="CX21" s="109" t="s">
        <v>3914</v>
      </c>
      <c r="DD21" s="108" t="s">
        <v>3797</v>
      </c>
      <c r="DE21" s="108">
        <f ca="1">BN10</f>
        <v>11.868907184637903</v>
      </c>
      <c r="DJ21" s="108" t="s">
        <v>3802</v>
      </c>
      <c r="DK21" s="108">
        <f ca="1">IF(DK19&gt;1000,0,DK19)</f>
        <v>8.7626643938957258</v>
      </c>
      <c r="DM21" s="108">
        <v>500</v>
      </c>
      <c r="DN21" s="108">
        <f t="shared" ca="1" si="4"/>
        <v>8.7626643938957258</v>
      </c>
      <c r="DO21" s="108">
        <f t="shared" ca="1" si="5"/>
        <v>0</v>
      </c>
      <c r="DQ21" s="108">
        <v>50</v>
      </c>
      <c r="DR21" s="108">
        <f t="shared" ca="1" si="6"/>
        <v>45.759863633743549</v>
      </c>
      <c r="DS21" s="108">
        <f t="shared" ca="1" si="7"/>
        <v>0</v>
      </c>
      <c r="DV21" s="108" t="s">
        <v>3802</v>
      </c>
      <c r="DW21" s="108">
        <f>IF(DW19&gt;1000,0,DW19)</f>
        <v>13.032539999999999</v>
      </c>
      <c r="DY21" s="108">
        <v>500</v>
      </c>
      <c r="DZ21" s="108">
        <f t="shared" si="8"/>
        <v>13.032539999999999</v>
      </c>
      <c r="EA21" s="108">
        <f t="shared" si="9"/>
        <v>0</v>
      </c>
      <c r="EC21" s="108">
        <v>50</v>
      </c>
      <c r="ED21" s="108">
        <f t="shared" si="10"/>
        <v>1.9523999999999475</v>
      </c>
      <c r="EE21" s="108">
        <f t="shared" si="11"/>
        <v>0</v>
      </c>
    </row>
    <row r="22" spans="1:135">
      <c r="A22" s="108">
        <v>15</v>
      </c>
      <c r="B22" s="108" t="str">
        <f t="shared" si="0"/>
        <v>α leo</v>
      </c>
      <c r="C22" s="108">
        <f t="shared" si="1"/>
        <v>0</v>
      </c>
      <c r="F22" s="108" t="s">
        <v>158</v>
      </c>
      <c r="G22" s="108">
        <v>19</v>
      </c>
      <c r="H22" s="108">
        <v>25</v>
      </c>
      <c r="I22" s="108">
        <v>29.9</v>
      </c>
      <c r="J22" s="108">
        <v>3</v>
      </c>
      <c r="K22" s="108">
        <v>6</v>
      </c>
      <c r="L22" s="108">
        <v>53</v>
      </c>
      <c r="M22" s="108" t="s">
        <v>159</v>
      </c>
      <c r="N22" s="108" t="s">
        <v>160</v>
      </c>
      <c r="R22" s="108" t="s">
        <v>129</v>
      </c>
      <c r="T22" s="108">
        <f>IF(T18=0,"a",1)</f>
        <v>1</v>
      </c>
      <c r="X22" s="108" t="s">
        <v>81</v>
      </c>
      <c r="Y22" s="108" t="s">
        <v>78</v>
      </c>
      <c r="AA22" s="108" t="s">
        <v>161</v>
      </c>
      <c r="AB22" s="108" t="s">
        <v>162</v>
      </c>
      <c r="AC22" s="108" t="s">
        <v>163</v>
      </c>
      <c r="AD22" s="108" t="s">
        <v>164</v>
      </c>
      <c r="AE22" s="108" t="s">
        <v>165</v>
      </c>
      <c r="AI22" s="108" t="s">
        <v>166</v>
      </c>
      <c r="AJ22" s="108" t="str">
        <f>LOOKUP(AJ18,(AA7:AA84),(AD7:AD84))</f>
        <v/>
      </c>
      <c r="AM22" s="108"/>
      <c r="AN22" s="108"/>
      <c r="AO22" s="108"/>
      <c r="AP22" s="108"/>
      <c r="AQ22" s="108"/>
      <c r="AR22" s="108"/>
      <c r="AS22" s="108">
        <f>SUM(R5+BF16+BM42+DE50+DU24)</f>
        <v>13117022.032539999</v>
      </c>
      <c r="AT22" s="108"/>
      <c r="AU22" s="108"/>
      <c r="AV22" s="108">
        <f ca="1">AV14+AV15+AV16</f>
        <v>45.401361822438787</v>
      </c>
      <c r="AW22" s="108"/>
      <c r="AX22" s="108"/>
      <c r="AY22" s="108"/>
      <c r="AZ22" s="108"/>
      <c r="BA22" s="108"/>
      <c r="BB22" s="108"/>
      <c r="BC22" s="108"/>
      <c r="BF22" s="108" t="s">
        <v>3465</v>
      </c>
      <c r="BG22" s="108">
        <f>BG19+BG20+BG21</f>
        <v>0</v>
      </c>
      <c r="BJ22" s="108" t="s">
        <v>3465</v>
      </c>
      <c r="BK22" s="108">
        <f>BK19+BK20+BK21</f>
        <v>0</v>
      </c>
      <c r="BM22" s="108" t="s">
        <v>3884</v>
      </c>
      <c r="BN22" s="111">
        <f>IF(Z24=1,23.45,BM22)</f>
        <v>23.45</v>
      </c>
      <c r="BO22" s="108" t="s">
        <v>3880</v>
      </c>
      <c r="BP22" s="108" t="s">
        <v>3748</v>
      </c>
      <c r="BQ22" s="108">
        <f ca="1">BQ21-360</f>
        <v>-209.89176505847061</v>
      </c>
      <c r="BS22" s="108" t="s">
        <v>3915</v>
      </c>
      <c r="BT22" s="108">
        <f ca="1">SIN(RADIANS(BT15))</f>
        <v>0.49836313827225204</v>
      </c>
      <c r="BX22" s="108" t="s">
        <v>3916</v>
      </c>
      <c r="CB22" s="108" t="s">
        <v>3917</v>
      </c>
      <c r="CE22" s="108" t="s">
        <v>3502</v>
      </c>
      <c r="CF22" s="108">
        <f>Φύλλο2!AC124</f>
        <v>2020</v>
      </c>
      <c r="CL22" s="108" t="s">
        <v>3532</v>
      </c>
      <c r="CM22" s="108">
        <f>CF86</f>
        <v>2</v>
      </c>
      <c r="CO22" s="108">
        <v>2001</v>
      </c>
      <c r="CP22" s="108">
        <v>17.244761077041893</v>
      </c>
      <c r="CW22" s="108" t="s">
        <v>1</v>
      </c>
      <c r="CX22" s="108">
        <f>IF(CT39=1,CM21,0)</f>
        <v>2</v>
      </c>
      <c r="CY22" s="108" t="s">
        <v>3548</v>
      </c>
      <c r="DD22" s="108" t="s">
        <v>3663</v>
      </c>
      <c r="DE22" s="108">
        <f ca="1">CM131</f>
        <v>131.43996590843588</v>
      </c>
      <c r="DM22" s="108">
        <v>400</v>
      </c>
      <c r="DN22" s="108">
        <f t="shared" ca="1" si="4"/>
        <v>8.7626643938957258</v>
      </c>
      <c r="DO22" s="108">
        <f t="shared" ca="1" si="5"/>
        <v>0</v>
      </c>
      <c r="DQ22" s="108">
        <v>40</v>
      </c>
      <c r="DR22" s="108">
        <f t="shared" ca="1" si="6"/>
        <v>-1</v>
      </c>
      <c r="DS22" s="108">
        <f t="shared" ca="1" si="7"/>
        <v>10</v>
      </c>
      <c r="DY22" s="108">
        <v>400</v>
      </c>
      <c r="DZ22" s="108">
        <f t="shared" si="8"/>
        <v>13.032539999999999</v>
      </c>
      <c r="EA22" s="108">
        <f t="shared" si="9"/>
        <v>0</v>
      </c>
      <c r="EC22" s="108">
        <v>40</v>
      </c>
      <c r="ED22" s="108">
        <f t="shared" si="10"/>
        <v>1.9523999999999475</v>
      </c>
      <c r="EE22" s="108">
        <f t="shared" si="11"/>
        <v>0</v>
      </c>
    </row>
    <row r="23" spans="1:135">
      <c r="A23" s="108">
        <v>16</v>
      </c>
      <c r="B23" s="108" t="str">
        <f t="shared" si="0"/>
        <v>α leo</v>
      </c>
      <c r="C23" s="108">
        <f t="shared" si="1"/>
        <v>0</v>
      </c>
      <c r="F23" s="108" t="s">
        <v>167</v>
      </c>
      <c r="G23" s="108">
        <v>18</v>
      </c>
      <c r="H23" s="108">
        <v>59</v>
      </c>
      <c r="I23" s="108">
        <v>37.4</v>
      </c>
      <c r="J23" s="108">
        <v>15</v>
      </c>
      <c r="K23" s="108">
        <v>4</v>
      </c>
      <c r="L23" s="108">
        <v>6</v>
      </c>
      <c r="M23" s="108" t="s">
        <v>168</v>
      </c>
      <c r="N23" s="108" t="s">
        <v>169</v>
      </c>
      <c r="R23" s="108" t="s">
        <v>58</v>
      </c>
      <c r="S23" s="108" t="b">
        <v>0</v>
      </c>
      <c r="T23" s="108" t="b">
        <f>ISNUMBER(T22)</f>
        <v>1</v>
      </c>
      <c r="X23" s="108" t="s">
        <v>170</v>
      </c>
      <c r="Y23" s="108" t="s">
        <v>161</v>
      </c>
      <c r="AA23" s="108" t="s">
        <v>171</v>
      </c>
      <c r="AB23" s="108" t="s">
        <v>85</v>
      </c>
      <c r="AC23" s="108" t="s">
        <v>172</v>
      </c>
      <c r="AD23" s="108" t="s">
        <v>173</v>
      </c>
      <c r="AE23" s="108" t="s">
        <v>174</v>
      </c>
      <c r="AI23" s="108" t="s">
        <v>175</v>
      </c>
      <c r="AM23" s="108"/>
      <c r="AN23" s="108"/>
      <c r="AO23" s="108"/>
      <c r="AP23" s="108"/>
      <c r="AQ23" s="108"/>
      <c r="AR23" s="108"/>
      <c r="AS23" s="108"/>
      <c r="AT23" s="108"/>
      <c r="AU23" s="108"/>
      <c r="AV23" s="108" t="s">
        <v>103</v>
      </c>
      <c r="AW23" s="108"/>
      <c r="AX23" s="108"/>
      <c r="AY23" s="108"/>
      <c r="AZ23" s="108"/>
      <c r="BA23" s="108"/>
      <c r="BB23" s="108"/>
      <c r="BC23" s="108"/>
      <c r="BF23" s="108" t="s">
        <v>3467</v>
      </c>
      <c r="BG23" s="108">
        <f>IF(BG18=3,1,0)</f>
        <v>1</v>
      </c>
      <c r="BJ23" s="108" t="s">
        <v>3467</v>
      </c>
      <c r="BK23" s="108">
        <f>IF(BK18=3,1,0)</f>
        <v>1</v>
      </c>
      <c r="BP23" s="108" t="s">
        <v>3749</v>
      </c>
      <c r="BQ23" s="108">
        <f ca="1">IF(BQ22&lt;0,BQ21,BQ22)</f>
        <v>150.10823494152939</v>
      </c>
      <c r="BS23" s="108" t="s">
        <v>3918</v>
      </c>
      <c r="BT23" s="108">
        <f>BT20</f>
        <v>0.91740769935748823</v>
      </c>
      <c r="BX23" s="108" t="s">
        <v>3919</v>
      </c>
      <c r="CB23" s="108" t="s">
        <v>3549</v>
      </c>
      <c r="CE23" s="108" t="s">
        <v>3503</v>
      </c>
      <c r="CF23" s="108">
        <f>Φύλλο2!AD124</f>
        <v>2</v>
      </c>
      <c r="CL23" s="108" t="s">
        <v>3505</v>
      </c>
      <c r="CM23" s="108">
        <f>CF87</f>
        <v>10.525555555555556</v>
      </c>
      <c r="CO23" s="108">
        <v>2002</v>
      </c>
      <c r="CP23" s="108">
        <v>17.261450448151173</v>
      </c>
      <c r="CR23" s="109" t="s">
        <v>3914</v>
      </c>
      <c r="CW23" s="108" t="s">
        <v>3503</v>
      </c>
      <c r="CX23" s="108" t="s">
        <v>3874</v>
      </c>
      <c r="CY23" s="108" t="s">
        <v>3550</v>
      </c>
      <c r="DE23" s="108" t="s">
        <v>3449</v>
      </c>
      <c r="DI23" s="109" t="s">
        <v>1</v>
      </c>
      <c r="DM23" s="108">
        <v>300</v>
      </c>
      <c r="DN23" s="108">
        <f t="shared" ca="1" si="4"/>
        <v>8.7626643938957258</v>
      </c>
      <c r="DO23" s="108">
        <f t="shared" ca="1" si="5"/>
        <v>0</v>
      </c>
      <c r="DQ23" s="108">
        <v>30</v>
      </c>
      <c r="DR23" s="108">
        <f t="shared" ca="1" si="6"/>
        <v>-1</v>
      </c>
      <c r="DS23" s="108">
        <f t="shared" ca="1" si="7"/>
        <v>10</v>
      </c>
      <c r="DU23" s="109" t="s">
        <v>1</v>
      </c>
      <c r="DY23" s="108">
        <v>300</v>
      </c>
      <c r="DZ23" s="108">
        <f t="shared" si="8"/>
        <v>13.032539999999999</v>
      </c>
      <c r="EA23" s="108">
        <f t="shared" si="9"/>
        <v>0</v>
      </c>
      <c r="EC23" s="108">
        <v>30</v>
      </c>
      <c r="ED23" s="108">
        <f t="shared" si="10"/>
        <v>1.9523999999999475</v>
      </c>
      <c r="EE23" s="108">
        <f t="shared" si="11"/>
        <v>0</v>
      </c>
    </row>
    <row r="24" spans="1:135">
      <c r="A24" s="108">
        <v>17</v>
      </c>
      <c r="B24" s="108" t="str">
        <f t="shared" si="0"/>
        <v>α leo</v>
      </c>
      <c r="C24" s="108">
        <f t="shared" si="1"/>
        <v>0</v>
      </c>
      <c r="F24" s="108" t="s">
        <v>176</v>
      </c>
      <c r="G24" s="108">
        <v>19</v>
      </c>
      <c r="H24" s="108">
        <v>5</v>
      </c>
      <c r="I24" s="108">
        <v>24.6</v>
      </c>
      <c r="J24" s="108">
        <v>13</v>
      </c>
      <c r="K24" s="108">
        <v>51</v>
      </c>
      <c r="L24" s="108">
        <v>48</v>
      </c>
      <c r="M24" s="108" t="s">
        <v>177</v>
      </c>
      <c r="N24" s="108" t="s">
        <v>178</v>
      </c>
      <c r="R24" s="108" t="s">
        <v>4007</v>
      </c>
      <c r="S24" s="108" t="s">
        <v>179</v>
      </c>
      <c r="T24" s="108" t="str">
        <f>IF(T23=S23,0,T18)</f>
        <v>leo</v>
      </c>
      <c r="X24" s="108" t="s">
        <v>180</v>
      </c>
      <c r="Y24" s="108" t="s">
        <v>161</v>
      </c>
      <c r="Z24" s="108">
        <v>1</v>
      </c>
      <c r="AA24" s="108" t="s">
        <v>181</v>
      </c>
      <c r="AB24" s="108" t="s">
        <v>182</v>
      </c>
      <c r="AC24" s="108" t="s">
        <v>183</v>
      </c>
      <c r="AD24" s="108" t="s">
        <v>184</v>
      </c>
      <c r="AE24" s="108" t="s">
        <v>185</v>
      </c>
      <c r="AJ24" s="108" t="str">
        <f>LOOKUP(AJ19,(AA7:AA84),(AA7:AA84))</f>
        <v>a</v>
      </c>
      <c r="AM24" s="108"/>
      <c r="AN24" s="108"/>
      <c r="AO24" s="108"/>
      <c r="AP24" s="108"/>
      <c r="AQ24" s="108"/>
      <c r="AR24" s="108"/>
      <c r="AS24" s="108"/>
      <c r="AT24" s="108"/>
      <c r="AU24" s="108"/>
      <c r="AV24" s="108" t="b">
        <v>0</v>
      </c>
      <c r="AW24" s="108" t="b">
        <f ca="1">ISNUMBER(AV22)</f>
        <v>1</v>
      </c>
      <c r="AX24" s="108"/>
      <c r="AY24" s="108"/>
      <c r="AZ24" s="108"/>
      <c r="BA24" s="108"/>
      <c r="BB24" s="108"/>
      <c r="BC24" s="108"/>
      <c r="BF24" s="108" t="s">
        <v>3468</v>
      </c>
      <c r="BG24" s="108">
        <f>IF(BG22=3,1,0)</f>
        <v>0</v>
      </c>
      <c r="BJ24" s="108" t="s">
        <v>3468</v>
      </c>
      <c r="BK24" s="108">
        <f>IF(BK22=3,1,0)</f>
        <v>0</v>
      </c>
      <c r="BM24" s="108" t="s">
        <v>3744</v>
      </c>
      <c r="BN24" s="108">
        <f>SIN(RADIANS(BN22))</f>
        <v>0.39794863130761038</v>
      </c>
      <c r="BP24" s="109" t="s">
        <v>3750</v>
      </c>
      <c r="BQ24" s="109">
        <f ca="1">BQ23</f>
        <v>150.10823494152939</v>
      </c>
      <c r="BS24" s="108" t="s">
        <v>3920</v>
      </c>
      <c r="BT24" s="108">
        <f ca="1">SIN(RADIANS(BT16))</f>
        <v>8.0188920488964421E-3</v>
      </c>
      <c r="BX24" s="108" t="s">
        <v>3551</v>
      </c>
      <c r="BY24" s="108">
        <v>365.24219264999999</v>
      </c>
      <c r="CB24" s="108" t="s">
        <v>3921</v>
      </c>
      <c r="CE24" s="108" t="s">
        <v>3504</v>
      </c>
      <c r="CF24" s="108">
        <f>Φύλλο2!AE124</f>
        <v>2</v>
      </c>
      <c r="CL24" s="108" t="s">
        <v>3552</v>
      </c>
      <c r="CM24" s="108">
        <f>CY63</f>
        <v>2.031375227686703</v>
      </c>
      <c r="CO24" s="108">
        <v>2003</v>
      </c>
      <c r="CP24" s="108">
        <v>17.278139819260453</v>
      </c>
      <c r="CS24" s="108" t="s">
        <v>1</v>
      </c>
      <c r="CT24" s="108">
        <f>CM19</f>
        <v>2020</v>
      </c>
      <c r="CW24" s="108">
        <v>0</v>
      </c>
      <c r="CX24" s="108">
        <v>0</v>
      </c>
      <c r="CY24" s="108">
        <v>0</v>
      </c>
      <c r="DD24" s="108" t="s">
        <v>3662</v>
      </c>
      <c r="DE24" s="108">
        <f>DE20</f>
        <v>37</v>
      </c>
      <c r="DI24" s="109">
        <f ca="1">CM128</f>
        <v>8.7626643938957258</v>
      </c>
      <c r="DM24" s="108">
        <v>200</v>
      </c>
      <c r="DN24" s="108">
        <f t="shared" ca="1" si="4"/>
        <v>8.7626643938957258</v>
      </c>
      <c r="DO24" s="108">
        <f t="shared" ca="1" si="5"/>
        <v>0</v>
      </c>
      <c r="DQ24" s="108">
        <v>20</v>
      </c>
      <c r="DR24" s="108">
        <f t="shared" ca="1" si="6"/>
        <v>-1</v>
      </c>
      <c r="DS24" s="108">
        <f t="shared" ca="1" si="7"/>
        <v>10</v>
      </c>
      <c r="DU24" s="109">
        <v>13.032539999999999</v>
      </c>
      <c r="DY24" s="108">
        <v>200</v>
      </c>
      <c r="DZ24" s="108">
        <f t="shared" si="8"/>
        <v>13.032539999999999</v>
      </c>
      <c r="EA24" s="108">
        <f t="shared" si="9"/>
        <v>0</v>
      </c>
      <c r="EC24" s="108">
        <v>20</v>
      </c>
      <c r="ED24" s="108">
        <f t="shared" si="10"/>
        <v>1.9523999999999475</v>
      </c>
      <c r="EE24" s="108">
        <f t="shared" si="11"/>
        <v>0</v>
      </c>
    </row>
    <row r="25" spans="1:135">
      <c r="A25" s="108">
        <v>18</v>
      </c>
      <c r="B25" s="108" t="str">
        <f t="shared" si="0"/>
        <v>α leo</v>
      </c>
      <c r="C25" s="108">
        <f t="shared" si="1"/>
        <v>0</v>
      </c>
      <c r="F25" s="108" t="s">
        <v>186</v>
      </c>
      <c r="G25" s="108">
        <v>19</v>
      </c>
      <c r="H25" s="108">
        <v>52</v>
      </c>
      <c r="I25" s="108">
        <v>28.4</v>
      </c>
      <c r="J25" s="108">
        <v>1</v>
      </c>
      <c r="K25" s="108">
        <v>0</v>
      </c>
      <c r="L25" s="108">
        <v>20</v>
      </c>
      <c r="M25" s="108" t="s">
        <v>187</v>
      </c>
      <c r="N25" s="108" t="s">
        <v>188</v>
      </c>
      <c r="S25" s="108" t="s">
        <v>150</v>
      </c>
      <c r="T25" s="108" t="str">
        <f>IF(T21=0,T16,T21)</f>
        <v>α</v>
      </c>
      <c r="X25" s="108" t="s">
        <v>189</v>
      </c>
      <c r="Y25" s="108" t="s">
        <v>161</v>
      </c>
      <c r="AA25" s="108" t="s">
        <v>190</v>
      </c>
      <c r="AB25" s="108" t="s">
        <v>191</v>
      </c>
      <c r="AC25" s="108" t="s">
        <v>183</v>
      </c>
      <c r="AD25" s="108" t="s">
        <v>184</v>
      </c>
      <c r="AE25" s="108" t="s">
        <v>185</v>
      </c>
      <c r="AI25" s="108" t="s">
        <v>136</v>
      </c>
      <c r="AJ25" s="108" t="str">
        <f>IF(AJ24="a","",AJ24)</f>
        <v/>
      </c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>
        <f ca="1">IF(AW24=AV24,0,AV22)</f>
        <v>45.401361822438787</v>
      </c>
      <c r="AX25" s="108"/>
      <c r="AY25" s="108"/>
      <c r="AZ25" s="108"/>
      <c r="BA25" s="108"/>
      <c r="BB25" s="108"/>
      <c r="BC25" s="108"/>
      <c r="BF25" s="108" t="s">
        <v>3469</v>
      </c>
      <c r="BG25" s="108">
        <f>BG23+BG24</f>
        <v>1</v>
      </c>
      <c r="BJ25" s="108" t="s">
        <v>3469</v>
      </c>
      <c r="BK25" s="108">
        <f>BK23+BK24</f>
        <v>1</v>
      </c>
      <c r="BM25" s="108" t="s">
        <v>3746</v>
      </c>
      <c r="BN25" s="108">
        <v>0.91740769935748823</v>
      </c>
      <c r="BP25" s="109" t="s">
        <v>3922</v>
      </c>
      <c r="BQ25" s="109">
        <f ca="1">BQ14</f>
        <v>0.45945359487488874</v>
      </c>
      <c r="BS25" s="108" t="s">
        <v>3923</v>
      </c>
      <c r="BT25" s="108">
        <f ca="1">COS(RADIANS(BT16))</f>
        <v>0.99996784816828388</v>
      </c>
      <c r="BX25" s="108" t="s">
        <v>3553</v>
      </c>
      <c r="BY25" s="108">
        <v>50.26</v>
      </c>
      <c r="CB25" s="108" t="s">
        <v>3554</v>
      </c>
      <c r="CE25" s="108" t="s">
        <v>3505</v>
      </c>
      <c r="CF25" s="108">
        <f>Φύλλο2!AF124</f>
        <v>10</v>
      </c>
      <c r="CL25" s="108" t="s">
        <v>3924</v>
      </c>
      <c r="CM25" s="108">
        <v>6.5527872763206041E-2</v>
      </c>
      <c r="CO25" s="108">
        <v>2004</v>
      </c>
      <c r="CP25" s="108">
        <v>17.294829190369732</v>
      </c>
      <c r="CR25" s="108">
        <v>2000</v>
      </c>
      <c r="CS25" s="108">
        <v>1</v>
      </c>
      <c r="CT25" s="108">
        <f t="shared" ref="CT25:CT35" si="14">IF(CT24=CR25,CS25,CT24)</f>
        <v>2020</v>
      </c>
      <c r="CW25" s="108">
        <v>1</v>
      </c>
      <c r="CX25" s="108">
        <v>31</v>
      </c>
      <c r="CY25" s="108">
        <v>0</v>
      </c>
      <c r="DE25" s="108" t="b">
        <f>ISNUMBER(DE24)</f>
        <v>1</v>
      </c>
      <c r="DI25" s="109" t="s">
        <v>146</v>
      </c>
      <c r="DM25" s="108">
        <v>100</v>
      </c>
      <c r="DN25" s="108">
        <f t="shared" ca="1" si="4"/>
        <v>8.7626643938957258</v>
      </c>
      <c r="DO25" s="108">
        <f t="shared" ca="1" si="5"/>
        <v>0</v>
      </c>
      <c r="DQ25" s="108">
        <v>10</v>
      </c>
      <c r="DR25" s="108">
        <f t="shared" ca="1" si="6"/>
        <v>-1</v>
      </c>
      <c r="DS25" s="108">
        <f t="shared" ca="1" si="7"/>
        <v>10</v>
      </c>
      <c r="DU25" s="109" t="s">
        <v>146</v>
      </c>
      <c r="DY25" s="108">
        <v>100</v>
      </c>
      <c r="DZ25" s="108">
        <f t="shared" si="8"/>
        <v>13.032539999999999</v>
      </c>
      <c r="EA25" s="108">
        <f t="shared" si="9"/>
        <v>0</v>
      </c>
      <c r="EC25" s="108">
        <v>10</v>
      </c>
      <c r="ED25" s="108">
        <f t="shared" si="10"/>
        <v>1.9523999999999475</v>
      </c>
      <c r="EE25" s="108">
        <f t="shared" si="11"/>
        <v>0</v>
      </c>
    </row>
    <row r="26" spans="1:135">
      <c r="A26" s="108">
        <v>19</v>
      </c>
      <c r="B26" s="108" t="str">
        <f t="shared" si="0"/>
        <v>α leo</v>
      </c>
      <c r="C26" s="108">
        <f t="shared" si="1"/>
        <v>0</v>
      </c>
      <c r="F26" s="108" t="s">
        <v>192</v>
      </c>
      <c r="G26" s="108">
        <v>20</v>
      </c>
      <c r="H26" s="108">
        <v>11</v>
      </c>
      <c r="I26" s="108">
        <v>18.3</v>
      </c>
      <c r="J26" s="108">
        <v>0</v>
      </c>
      <c r="K26" s="108">
        <v>-49</v>
      </c>
      <c r="L26" s="108">
        <v>-17</v>
      </c>
      <c r="M26" s="108" t="s">
        <v>193</v>
      </c>
      <c r="N26" s="108" t="s">
        <v>194</v>
      </c>
      <c r="S26" s="108" t="s">
        <v>179</v>
      </c>
      <c r="T26" s="108" t="str">
        <f>T24</f>
        <v>leo</v>
      </c>
      <c r="X26" s="108" t="s">
        <v>164</v>
      </c>
      <c r="Y26" s="108" t="s">
        <v>161</v>
      </c>
      <c r="AA26" s="108" t="s">
        <v>195</v>
      </c>
      <c r="AB26" s="108" t="s">
        <v>196</v>
      </c>
      <c r="AC26" s="108" t="s">
        <v>197</v>
      </c>
      <c r="AD26" s="108" t="s">
        <v>198</v>
      </c>
      <c r="AE26" s="108" t="s">
        <v>199</v>
      </c>
      <c r="AI26" s="108" t="s">
        <v>200</v>
      </c>
      <c r="AJ26" s="108" t="str">
        <f>LOOKUP(AJ18,(AA7:AA84),(AB7:AB84))</f>
        <v/>
      </c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F26" s="108" t="s">
        <v>3470</v>
      </c>
      <c r="BG26" s="108">
        <f>BG14/60</f>
        <v>0.3716666666666667</v>
      </c>
      <c r="BJ26" s="108" t="s">
        <v>3470</v>
      </c>
      <c r="BK26" s="108">
        <f>BK14/60</f>
        <v>3.3333333333333333E-2</v>
      </c>
      <c r="BM26" s="108" t="s">
        <v>3751</v>
      </c>
      <c r="BN26" s="108">
        <f>15*BN13</f>
        <v>152.09291666666667</v>
      </c>
      <c r="BX26" s="108" t="s">
        <v>3555</v>
      </c>
      <c r="BY26" s="108">
        <v>1296000</v>
      </c>
      <c r="CE26" s="108" t="s">
        <v>14</v>
      </c>
      <c r="CF26" s="108">
        <f>Φύλλο2!AG124</f>
        <v>31</v>
      </c>
      <c r="CL26" s="108" t="s">
        <v>3556</v>
      </c>
      <c r="CM26" s="108">
        <f>CF28</f>
        <v>10.139527777777777</v>
      </c>
      <c r="CO26" s="108">
        <v>2005</v>
      </c>
      <c r="CP26" s="108">
        <v>17.245979156300514</v>
      </c>
      <c r="CR26" s="108">
        <v>2004</v>
      </c>
      <c r="CS26" s="108">
        <v>1</v>
      </c>
      <c r="CT26" s="108">
        <f t="shared" si="14"/>
        <v>2020</v>
      </c>
      <c r="CW26" s="108">
        <v>2</v>
      </c>
      <c r="CX26" s="108">
        <v>29</v>
      </c>
      <c r="CY26" s="108">
        <v>2.031375227686703</v>
      </c>
      <c r="DD26" s="108" t="b">
        <v>0</v>
      </c>
      <c r="DE26" s="108">
        <f>IF(DE25=DD26,90,DE24)</f>
        <v>37</v>
      </c>
      <c r="DI26" s="108">
        <f ca="1">DR51</f>
        <v>8</v>
      </c>
      <c r="DJ26" s="108" t="s">
        <v>3803</v>
      </c>
      <c r="DM26" s="108" t="s">
        <v>3804</v>
      </c>
      <c r="DO26" s="108">
        <f ca="1">SUM(DO17:DO25)</f>
        <v>0</v>
      </c>
      <c r="DQ26" s="108" t="s">
        <v>3804</v>
      </c>
      <c r="DS26" s="108">
        <f ca="1">SUM(DS17:DS25)</f>
        <v>40</v>
      </c>
      <c r="DU26" s="108">
        <f>ED51</f>
        <v>13</v>
      </c>
      <c r="DV26" s="108" t="s">
        <v>3803</v>
      </c>
      <c r="DY26" s="108" t="s">
        <v>3804</v>
      </c>
      <c r="EA26" s="108">
        <f>SUM(EA17:EA25)</f>
        <v>0</v>
      </c>
      <c r="EC26" s="108" t="s">
        <v>3804</v>
      </c>
      <c r="EE26" s="108">
        <f>SUM(EE17:EE25)</f>
        <v>0</v>
      </c>
    </row>
    <row r="27" spans="1:135">
      <c r="A27" s="108">
        <v>20</v>
      </c>
      <c r="B27" s="108" t="str">
        <f t="shared" si="0"/>
        <v>α leo</v>
      </c>
      <c r="C27" s="108">
        <f t="shared" si="1"/>
        <v>0</v>
      </c>
      <c r="F27" s="108" t="s">
        <v>201</v>
      </c>
      <c r="G27" s="108">
        <v>19</v>
      </c>
      <c r="H27" s="108">
        <v>36</v>
      </c>
      <c r="I27" s="108">
        <v>43.3</v>
      </c>
      <c r="J27" s="108">
        <v>-1</v>
      </c>
      <c r="K27" s="108">
        <v>-17</v>
      </c>
      <c r="L27" s="108">
        <v>-12</v>
      </c>
      <c r="M27" s="108" t="s">
        <v>202</v>
      </c>
      <c r="N27" s="108" t="s">
        <v>203</v>
      </c>
      <c r="X27" s="108" t="s">
        <v>204</v>
      </c>
      <c r="Y27" s="108" t="s">
        <v>205</v>
      </c>
      <c r="AA27" s="108" t="s">
        <v>206</v>
      </c>
      <c r="AB27" s="108" t="s">
        <v>207</v>
      </c>
      <c r="AC27" s="108" t="s">
        <v>208</v>
      </c>
      <c r="AD27" s="108" t="s">
        <v>209</v>
      </c>
      <c r="AE27" s="108" t="s">
        <v>210</v>
      </c>
      <c r="AI27" s="109" t="s">
        <v>211</v>
      </c>
      <c r="AM27" s="108"/>
      <c r="AN27" s="108"/>
      <c r="AO27" s="108"/>
      <c r="AP27" s="108"/>
      <c r="AQ27" s="108"/>
      <c r="AR27" s="108"/>
      <c r="AS27" s="108"/>
      <c r="AT27" s="108"/>
      <c r="AU27" s="108">
        <v>5167283</v>
      </c>
      <c r="AV27" s="108"/>
      <c r="AW27" s="108"/>
      <c r="AX27" s="108"/>
      <c r="AY27" s="108"/>
      <c r="AZ27" s="108"/>
      <c r="BA27" s="108"/>
      <c r="BB27" s="108"/>
      <c r="BC27" s="108"/>
      <c r="BF27" s="108" t="s">
        <v>3471</v>
      </c>
      <c r="BG27" s="108">
        <f>(BG26+BG12)/60</f>
        <v>0.13952777777777778</v>
      </c>
      <c r="BJ27" s="108" t="s">
        <v>3471</v>
      </c>
      <c r="BK27" s="108">
        <f>(BK26+BK12)/60</f>
        <v>0.96722222222222221</v>
      </c>
      <c r="BM27" s="108" t="s">
        <v>3925</v>
      </c>
      <c r="BN27" s="108">
        <f>SIN(RADIANS(BN26))</f>
        <v>0.46803906840986487</v>
      </c>
      <c r="BS27" s="108" t="s">
        <v>3752</v>
      </c>
      <c r="BT27" s="108">
        <f ca="1">BT22*BT25</f>
        <v>0.4983471149844968</v>
      </c>
      <c r="BX27" s="109" t="s">
        <v>3557</v>
      </c>
      <c r="CE27" s="108" t="s">
        <v>3462</v>
      </c>
      <c r="CF27" s="108">
        <f>Φύλλο2!AH124</f>
        <v>32</v>
      </c>
      <c r="CL27" s="108" t="s">
        <v>3558</v>
      </c>
      <c r="CM27" s="108">
        <v>30</v>
      </c>
      <c r="CO27" s="108">
        <v>2006</v>
      </c>
      <c r="CP27" s="108">
        <v>17.262668527409794</v>
      </c>
      <c r="CR27" s="108">
        <v>2008</v>
      </c>
      <c r="CS27" s="108">
        <v>1</v>
      </c>
      <c r="CT27" s="108">
        <f t="shared" si="14"/>
        <v>2020</v>
      </c>
      <c r="CW27" s="108">
        <v>3</v>
      </c>
      <c r="CX27" s="108">
        <v>31</v>
      </c>
      <c r="CY27" s="108">
        <v>3.9316939890710385</v>
      </c>
      <c r="DD27" s="108" t="s">
        <v>3706</v>
      </c>
      <c r="DE27" s="108" t="str">
        <f>IF(DE25=DD26,DD27,"")</f>
        <v/>
      </c>
      <c r="DI27" s="108">
        <f ca="1">DR52</f>
        <v>45</v>
      </c>
      <c r="DJ27" s="108" t="s">
        <v>14</v>
      </c>
      <c r="DO27" s="108">
        <f ca="1">DK21-DO26</f>
        <v>8.7626643938957258</v>
      </c>
      <c r="DS27" s="108">
        <f ca="1">DR16-DS26</f>
        <v>5.7598636337435494</v>
      </c>
      <c r="DU27" s="108">
        <f>ED52</f>
        <v>1</v>
      </c>
      <c r="DV27" s="108" t="s">
        <v>14</v>
      </c>
      <c r="EA27" s="108">
        <f>DW21-EA26</f>
        <v>13.032539999999999</v>
      </c>
      <c r="EE27" s="108">
        <f>ED16-EE26</f>
        <v>1.9523999999999475</v>
      </c>
    </row>
    <row r="28" spans="1:135">
      <c r="A28" s="108">
        <v>21</v>
      </c>
      <c r="B28" s="108" t="str">
        <f t="shared" si="0"/>
        <v>α leo</v>
      </c>
      <c r="C28" s="108">
        <f t="shared" si="1"/>
        <v>0</v>
      </c>
      <c r="F28" s="108" t="s">
        <v>212</v>
      </c>
      <c r="G28" s="108">
        <v>19</v>
      </c>
      <c r="H28" s="108">
        <v>6</v>
      </c>
      <c r="I28" s="108">
        <v>14.9</v>
      </c>
      <c r="J28" s="108">
        <v>-4</v>
      </c>
      <c r="K28" s="108">
        <v>-52</v>
      </c>
      <c r="L28" s="108">
        <v>-57</v>
      </c>
      <c r="M28" s="108" t="s">
        <v>213</v>
      </c>
      <c r="N28" s="108" t="s">
        <v>214</v>
      </c>
      <c r="X28" s="108" t="s">
        <v>215</v>
      </c>
      <c r="Y28" s="108" t="s">
        <v>205</v>
      </c>
      <c r="AA28" s="108" t="s">
        <v>216</v>
      </c>
      <c r="AB28" s="108" t="s">
        <v>217</v>
      </c>
      <c r="AC28" s="108" t="s">
        <v>218</v>
      </c>
      <c r="AD28" s="108" t="s">
        <v>219</v>
      </c>
      <c r="AE28" s="108" t="s">
        <v>220</v>
      </c>
      <c r="AJ28" s="108" t="str">
        <f>LOOKUP(AJ18,(AA7:AA84),(AF7:AF84))</f>
        <v/>
      </c>
      <c r="AM28" s="108"/>
      <c r="AN28" s="108"/>
      <c r="AO28" s="108"/>
      <c r="AP28" s="108"/>
      <c r="AQ28" s="108"/>
      <c r="AR28" s="108"/>
      <c r="AS28" s="108"/>
      <c r="AT28" s="108"/>
      <c r="AU28" s="108"/>
      <c r="AV28" s="108"/>
      <c r="AW28" s="108"/>
      <c r="AX28" s="108"/>
      <c r="AY28" s="108"/>
      <c r="AZ28" s="108"/>
      <c r="BA28" s="108"/>
      <c r="BB28" s="108"/>
      <c r="BC28" s="108"/>
      <c r="BE28" s="109" t="s">
        <v>146</v>
      </c>
      <c r="BF28" s="108" t="s">
        <v>3472</v>
      </c>
      <c r="BG28" s="108">
        <f>BG27+BG10</f>
        <v>10.139527777777777</v>
      </c>
      <c r="BI28" s="109" t="s">
        <v>146</v>
      </c>
      <c r="BJ28" s="108" t="s">
        <v>3472</v>
      </c>
      <c r="BK28" s="108">
        <f>BK27+BK10</f>
        <v>11.967222222222222</v>
      </c>
      <c r="BM28" s="108" t="s">
        <v>3926</v>
      </c>
      <c r="BN28" s="108">
        <f ca="1">COS(RADIANS(CF29))</f>
        <v>1</v>
      </c>
      <c r="BQ28" s="110"/>
      <c r="BS28" s="108" t="s">
        <v>3753</v>
      </c>
      <c r="BT28" s="108">
        <f ca="1">BT27/BT20</f>
        <v>0.54321226575002268</v>
      </c>
      <c r="BX28" s="108" t="s">
        <v>3559</v>
      </c>
      <c r="CE28" s="108" t="s">
        <v>3927</v>
      </c>
      <c r="CF28" s="108">
        <f>BE29</f>
        <v>10.139527777777777</v>
      </c>
      <c r="CO28" s="108">
        <v>2007</v>
      </c>
      <c r="CP28" s="108">
        <v>17.279357898519073</v>
      </c>
      <c r="CR28" s="108">
        <v>2012</v>
      </c>
      <c r="CS28" s="108">
        <v>1</v>
      </c>
      <c r="CT28" s="108">
        <f t="shared" si="14"/>
        <v>2020</v>
      </c>
      <c r="CW28" s="108">
        <v>4</v>
      </c>
      <c r="CX28" s="108">
        <v>30</v>
      </c>
      <c r="CY28" s="108">
        <v>5.9630692167577415</v>
      </c>
      <c r="DD28" s="108" t="s">
        <v>3707</v>
      </c>
      <c r="DE28" s="108" t="str">
        <f>IF(DE26&gt;0,"",DD28)</f>
        <v/>
      </c>
      <c r="DI28" s="108">
        <f ca="1">DR53</f>
        <v>45.591818024612962</v>
      </c>
      <c r="DJ28" s="108" t="s">
        <v>3462</v>
      </c>
      <c r="DN28" s="108">
        <f ca="1">DO27</f>
        <v>8.7626643938957258</v>
      </c>
      <c r="DR28" s="108">
        <f ca="1">DS27</f>
        <v>5.7598636337435494</v>
      </c>
      <c r="DU28" s="108">
        <f>ED53</f>
        <v>57.143999999996851</v>
      </c>
      <c r="DV28" s="108" t="s">
        <v>3462</v>
      </c>
      <c r="DZ28" s="108">
        <f>EA27</f>
        <v>13.032539999999999</v>
      </c>
      <c r="ED28" s="108">
        <f>EE27</f>
        <v>1.9523999999999475</v>
      </c>
    </row>
    <row r="29" spans="1:135">
      <c r="A29" s="108">
        <v>22</v>
      </c>
      <c r="B29" s="108" t="str">
        <f t="shared" si="0"/>
        <v>α leo</v>
      </c>
      <c r="C29" s="108">
        <f t="shared" si="1"/>
        <v>0</v>
      </c>
      <c r="F29" s="108" t="s">
        <v>163</v>
      </c>
      <c r="M29" s="108" t="s">
        <v>221</v>
      </c>
      <c r="N29" s="108" t="s">
        <v>161</v>
      </c>
      <c r="R29" s="109" t="s">
        <v>11</v>
      </c>
      <c r="S29" s="109" t="s">
        <v>105</v>
      </c>
      <c r="T29" s="108" t="str">
        <f>T14</f>
        <v xml:space="preserve">  </v>
      </c>
      <c r="X29" s="108" t="s">
        <v>222</v>
      </c>
      <c r="Y29" s="108" t="s">
        <v>205</v>
      </c>
      <c r="AA29" s="108" t="s">
        <v>223</v>
      </c>
      <c r="AB29" s="108" t="s">
        <v>142</v>
      </c>
      <c r="AC29" s="108" t="s">
        <v>224</v>
      </c>
      <c r="AD29" s="108" t="s">
        <v>225</v>
      </c>
      <c r="AE29" s="108" t="s">
        <v>226</v>
      </c>
      <c r="AI29" s="108" t="s">
        <v>227</v>
      </c>
      <c r="AM29" s="108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  <c r="BA29" s="108"/>
      <c r="BB29" s="108"/>
      <c r="BC29" s="108"/>
      <c r="BE29" s="108">
        <f>IF(BE41=0,BG28,0)</f>
        <v>10.139527777777777</v>
      </c>
      <c r="BI29" s="108">
        <f>IF(BI41=0,BK28,0)</f>
        <v>11.967222222222222</v>
      </c>
      <c r="BM29" s="108" t="s">
        <v>3928</v>
      </c>
      <c r="BN29" s="108">
        <f>SIN(RADIANS(BN14))</f>
        <v>0.20735207800606523</v>
      </c>
      <c r="BS29" s="108" t="s">
        <v>3754</v>
      </c>
      <c r="BT29" s="108">
        <f ca="1">BT27*BT19/BT20</f>
        <v>0.21617057766472744</v>
      </c>
      <c r="BX29" s="108" t="s">
        <v>3560</v>
      </c>
      <c r="CE29" s="108" t="s">
        <v>3929</v>
      </c>
      <c r="CF29" s="108">
        <f ca="1">IF(BX63=BE15,0,BI29)</f>
        <v>0</v>
      </c>
      <c r="CL29" s="109" t="s">
        <v>3502</v>
      </c>
      <c r="CM29" s="108">
        <f>CM19</f>
        <v>2020</v>
      </c>
      <c r="CO29" s="108">
        <v>2008</v>
      </c>
      <c r="CP29" s="108">
        <v>17.296047269628353</v>
      </c>
      <c r="CR29" s="108">
        <v>2016</v>
      </c>
      <c r="CS29" s="108">
        <v>1</v>
      </c>
      <c r="CT29" s="108">
        <f t="shared" si="14"/>
        <v>2020</v>
      </c>
      <c r="CW29" s="108">
        <v>5</v>
      </c>
      <c r="CX29" s="108">
        <v>31</v>
      </c>
      <c r="CY29" s="108">
        <v>7.9289162112932612</v>
      </c>
      <c r="DD29" s="108" t="s">
        <v>3711</v>
      </c>
      <c r="DE29" s="108" t="str">
        <f>IF(DE26&gt;90,DD29,"")</f>
        <v/>
      </c>
      <c r="DI29" s="109" t="s">
        <v>3805</v>
      </c>
      <c r="DM29" s="108">
        <v>90</v>
      </c>
      <c r="DN29" s="108">
        <f ca="1">IF(DN28&lt;DM29,DN28,-1)</f>
        <v>8.7626643938957258</v>
      </c>
      <c r="DO29" s="108">
        <f ca="1">IF(DN29=-1,10,0)</f>
        <v>0</v>
      </c>
      <c r="DQ29" s="108">
        <v>9</v>
      </c>
      <c r="DR29" s="108">
        <f ca="1">IF(DR28&lt;DQ29,DR28,-1)</f>
        <v>5.7598636337435494</v>
      </c>
      <c r="DS29" s="108">
        <f ca="1">IF(DR29=-1,1,0)</f>
        <v>0</v>
      </c>
      <c r="DU29" s="109" t="s">
        <v>3805</v>
      </c>
      <c r="DY29" s="108">
        <v>90</v>
      </c>
      <c r="DZ29" s="108">
        <f>IF(DZ28&lt;DY29,DZ28,-1)</f>
        <v>13.032539999999999</v>
      </c>
      <c r="EA29" s="108">
        <f>IF(DZ29=-1,10,0)</f>
        <v>0</v>
      </c>
      <c r="EC29" s="108">
        <v>9</v>
      </c>
      <c r="ED29" s="108">
        <f>IF(ED28&lt;EC29,ED28,-1)</f>
        <v>1.9523999999999475</v>
      </c>
      <c r="EE29" s="108">
        <f>IF(ED29=-1,1,0)</f>
        <v>0</v>
      </c>
    </row>
    <row r="30" spans="1:135">
      <c r="A30" s="108">
        <v>23</v>
      </c>
      <c r="B30" s="108" t="str">
        <f t="shared" si="0"/>
        <v>α leo</v>
      </c>
      <c r="C30" s="108">
        <f t="shared" si="1"/>
        <v>0</v>
      </c>
      <c r="F30" s="108" t="s">
        <v>228</v>
      </c>
      <c r="G30" s="108">
        <v>20</v>
      </c>
      <c r="H30" s="108">
        <v>18</v>
      </c>
      <c r="I30" s="108">
        <v>3.3</v>
      </c>
      <c r="J30" s="108">
        <v>-12</v>
      </c>
      <c r="K30" s="108">
        <v>-32</v>
      </c>
      <c r="L30" s="108">
        <v>-41</v>
      </c>
      <c r="M30" s="108" t="s">
        <v>229</v>
      </c>
      <c r="N30" s="108" t="s">
        <v>230</v>
      </c>
      <c r="R30" s="108" t="s">
        <v>4004</v>
      </c>
      <c r="S30" s="108" t="s">
        <v>112</v>
      </c>
      <c r="T30" s="108" t="str">
        <f>LEFT(T29,(FIND(" ",T29,1)-1))</f>
        <v/>
      </c>
      <c r="X30" s="108" t="s">
        <v>231</v>
      </c>
      <c r="Y30" s="108" t="s">
        <v>205</v>
      </c>
      <c r="AA30" s="108" t="s">
        <v>232</v>
      </c>
      <c r="AB30" s="108" t="s">
        <v>233</v>
      </c>
      <c r="AC30" s="108" t="s">
        <v>234</v>
      </c>
      <c r="AD30" s="108" t="s">
        <v>235</v>
      </c>
      <c r="AE30" s="108" t="s">
        <v>236</v>
      </c>
      <c r="AJ30" s="108" t="str">
        <f>IF(AJ28=AF83,"2) Υπάρχουν μόνο οι ορατοί από την Ελλάδα αστερισμοί.","")</f>
        <v/>
      </c>
      <c r="AM30" s="108"/>
      <c r="AN30" s="108"/>
      <c r="AO30" s="108"/>
      <c r="AP30" s="108"/>
      <c r="AQ30" s="108"/>
      <c r="AR30" s="108"/>
      <c r="AS30" s="108"/>
      <c r="AT30" s="108"/>
      <c r="AU30" s="108"/>
      <c r="AV30" s="108"/>
      <c r="AW30" s="108"/>
      <c r="AX30" s="108"/>
      <c r="AY30" s="108"/>
      <c r="AZ30" s="108"/>
      <c r="BA30" s="108"/>
      <c r="BB30" s="108"/>
      <c r="BC30" s="108"/>
      <c r="BG30" s="108">
        <f>IF(CF23&gt;2,1,0)</f>
        <v>0</v>
      </c>
      <c r="BM30" s="108" t="s">
        <v>3930</v>
      </c>
      <c r="BN30" s="108">
        <f>COS(RADIANS(BN14))</f>
        <v>0.97826638281531819</v>
      </c>
      <c r="BP30" s="112"/>
      <c r="BS30" s="108" t="s">
        <v>3755</v>
      </c>
      <c r="BT30" s="108">
        <f ca="1">BT29+BT24</f>
        <v>0.22418946971362388</v>
      </c>
      <c r="BX30" s="108" t="s">
        <v>3561</v>
      </c>
      <c r="CE30" s="109" t="s">
        <v>3571</v>
      </c>
      <c r="CL30" s="108" t="s">
        <v>3562</v>
      </c>
      <c r="CM30" s="108">
        <f xml:space="preserve"> IF(CM29&lt;2000,0,CM29)</f>
        <v>2020</v>
      </c>
      <c r="CO30" s="108">
        <v>2009</v>
      </c>
      <c r="CP30" s="108">
        <v>17.247197235559135</v>
      </c>
      <c r="CR30" s="108">
        <v>2020</v>
      </c>
      <c r="CS30" s="108">
        <v>1</v>
      </c>
      <c r="CT30" s="108">
        <f t="shared" si="14"/>
        <v>1</v>
      </c>
      <c r="CW30" s="108">
        <v>6</v>
      </c>
      <c r="CX30" s="108">
        <v>30</v>
      </c>
      <c r="CY30" s="108">
        <v>9.9602914389799651</v>
      </c>
      <c r="DD30" s="108" t="s">
        <v>3708</v>
      </c>
      <c r="DE30" s="108" t="str">
        <f>CONCATENATE(DE27,DE28,DE29)</f>
        <v/>
      </c>
      <c r="DI30" s="108">
        <f ca="1">DI26</f>
        <v>8</v>
      </c>
      <c r="DM30" s="108">
        <v>80</v>
      </c>
      <c r="DN30" s="108">
        <f t="shared" ref="DN30:DN37" ca="1" si="15">IF(DN29&lt;DM30,DN29,-1)</f>
        <v>8.7626643938957258</v>
      </c>
      <c r="DO30" s="108">
        <f t="shared" ref="DO30:DO37" ca="1" si="16">IF(DN30=-1,10,0)</f>
        <v>0</v>
      </c>
      <c r="DQ30" s="108">
        <v>8</v>
      </c>
      <c r="DR30" s="108">
        <f t="shared" ref="DR30:DR37" ca="1" si="17">IF(DR29&lt;DQ30,DR29,-1)</f>
        <v>5.7598636337435494</v>
      </c>
      <c r="DS30" s="108">
        <f t="shared" ref="DS30:DS37" ca="1" si="18">IF(DR30=-1,1,0)</f>
        <v>0</v>
      </c>
      <c r="DU30" s="108">
        <f>DU26</f>
        <v>13</v>
      </c>
      <c r="DY30" s="108">
        <v>80</v>
      </c>
      <c r="DZ30" s="108">
        <f t="shared" ref="DZ30:DZ37" si="19">IF(DZ29&lt;DY30,DZ29,-1)</f>
        <v>13.032539999999999</v>
      </c>
      <c r="EA30" s="108">
        <f t="shared" ref="EA30:EA37" si="20">IF(DZ30=-1,10,0)</f>
        <v>0</v>
      </c>
      <c r="EC30" s="108">
        <v>8</v>
      </c>
      <c r="ED30" s="108">
        <f t="shared" ref="ED30:ED37" si="21">IF(ED29&lt;EC30,ED29,-1)</f>
        <v>1.9523999999999475</v>
      </c>
      <c r="EE30" s="108">
        <f t="shared" ref="EE30:EE37" si="22">IF(ED30=-1,1,0)</f>
        <v>0</v>
      </c>
    </row>
    <row r="31" spans="1:135">
      <c r="A31" s="108">
        <v>24</v>
      </c>
      <c r="B31" s="108" t="str">
        <f t="shared" si="0"/>
        <v>α leo</v>
      </c>
      <c r="C31" s="108">
        <f t="shared" si="1"/>
        <v>0</v>
      </c>
      <c r="F31" s="108" t="s">
        <v>237</v>
      </c>
      <c r="G31" s="108">
        <v>20</v>
      </c>
      <c r="H31" s="108">
        <v>21</v>
      </c>
      <c r="I31" s="108">
        <v>0.7</v>
      </c>
      <c r="J31" s="108">
        <v>-14</v>
      </c>
      <c r="K31" s="108">
        <v>-46</v>
      </c>
      <c r="L31" s="108">
        <v>-53</v>
      </c>
      <c r="M31" s="108" t="s">
        <v>238</v>
      </c>
      <c r="N31" s="108" t="s">
        <v>239</v>
      </c>
      <c r="R31" s="108" t="s">
        <v>4005</v>
      </c>
      <c r="S31" s="108" t="s">
        <v>119</v>
      </c>
      <c r="T31" s="108" t="str">
        <f>MID(T29,FIND(" ",T29)+1,256)</f>
        <v xml:space="preserve"> </v>
      </c>
      <c r="X31" s="108" t="s">
        <v>240</v>
      </c>
      <c r="Y31" s="108" t="s">
        <v>241</v>
      </c>
      <c r="AA31" s="108" t="s">
        <v>242</v>
      </c>
      <c r="AB31" s="108" t="s">
        <v>233</v>
      </c>
      <c r="AC31" s="108" t="s">
        <v>234</v>
      </c>
      <c r="AD31" s="108" t="s">
        <v>235</v>
      </c>
      <c r="AE31" s="108" t="s">
        <v>236</v>
      </c>
      <c r="AJ31" s="108" t="str">
        <f>IF(AJ28=0,"",AJ28)</f>
        <v/>
      </c>
      <c r="AM31" s="108"/>
      <c r="AN31" s="108"/>
      <c r="AO31" s="108"/>
      <c r="AP31" s="108"/>
      <c r="AQ31" s="108"/>
      <c r="AR31" s="108"/>
      <c r="AS31" s="108"/>
      <c r="AT31" s="108"/>
      <c r="AU31" s="108"/>
      <c r="AV31" s="108"/>
      <c r="AW31" s="108"/>
      <c r="AX31" s="108"/>
      <c r="AY31" s="108"/>
      <c r="AZ31" s="108"/>
      <c r="BA31" s="108"/>
      <c r="BB31" s="108"/>
      <c r="BC31" s="108"/>
      <c r="BG31" s="108">
        <f>IF(BG9=BF13,1,0)</f>
        <v>0</v>
      </c>
      <c r="BK31" s="108">
        <f>IF(BK9=BJ13,1,0)</f>
        <v>0</v>
      </c>
      <c r="BM31" s="108" t="s">
        <v>3881</v>
      </c>
      <c r="BN31" s="108">
        <f ca="1">BN24/BN28</f>
        <v>0.39794863130761038</v>
      </c>
      <c r="BS31" s="108" t="s">
        <v>3756</v>
      </c>
      <c r="BT31" s="108">
        <f ca="1">BT30*BT20</f>
        <v>0.20567314563015096</v>
      </c>
      <c r="BX31" s="108" t="s">
        <v>3563</v>
      </c>
      <c r="CE31" s="108" t="s">
        <v>3931</v>
      </c>
      <c r="CL31" s="108" t="s">
        <v>3564</v>
      </c>
      <c r="CM31" s="108">
        <f>IF(CM30&gt;2040,0,CM30)</f>
        <v>2020</v>
      </c>
      <c r="CO31" s="108">
        <v>2010</v>
      </c>
      <c r="CP31" s="108">
        <v>17.263886606668414</v>
      </c>
      <c r="CR31" s="108">
        <v>2024</v>
      </c>
      <c r="CS31" s="108">
        <v>1</v>
      </c>
      <c r="CT31" s="108">
        <f t="shared" si="14"/>
        <v>1</v>
      </c>
      <c r="CW31" s="108">
        <v>7</v>
      </c>
      <c r="CX31" s="108">
        <v>31</v>
      </c>
      <c r="CY31" s="108">
        <v>11.926138433515485</v>
      </c>
      <c r="DD31" s="109" t="s">
        <v>3709</v>
      </c>
      <c r="DI31" s="108">
        <f ca="1">IF(DI30&lt;0,DS43,DI27)</f>
        <v>45</v>
      </c>
      <c r="DM31" s="108">
        <v>70</v>
      </c>
      <c r="DN31" s="108">
        <f t="shared" ca="1" si="15"/>
        <v>8.7626643938957258</v>
      </c>
      <c r="DO31" s="108">
        <f t="shared" ca="1" si="16"/>
        <v>0</v>
      </c>
      <c r="DQ31" s="108">
        <v>7</v>
      </c>
      <c r="DR31" s="108">
        <f t="shared" ca="1" si="17"/>
        <v>5.7598636337435494</v>
      </c>
      <c r="DS31" s="108">
        <f t="shared" ca="1" si="18"/>
        <v>0</v>
      </c>
      <c r="DU31" s="108">
        <f>IF(DU30&lt;0,EE43,DU27)</f>
        <v>1</v>
      </c>
      <c r="DY31" s="108">
        <v>70</v>
      </c>
      <c r="DZ31" s="108">
        <f t="shared" si="19"/>
        <v>13.032539999999999</v>
      </c>
      <c r="EA31" s="108">
        <f t="shared" si="20"/>
        <v>0</v>
      </c>
      <c r="EC31" s="108">
        <v>7</v>
      </c>
      <c r="ED31" s="108">
        <f t="shared" si="21"/>
        <v>1.9523999999999475</v>
      </c>
      <c r="EE31" s="108">
        <f t="shared" si="22"/>
        <v>0</v>
      </c>
    </row>
    <row r="32" spans="1:135">
      <c r="A32" s="108">
        <v>25</v>
      </c>
      <c r="B32" s="108" t="str">
        <f t="shared" si="0"/>
        <v>α leo</v>
      </c>
      <c r="C32" s="108">
        <f t="shared" si="1"/>
        <v>0</v>
      </c>
      <c r="F32" s="108" t="s">
        <v>243</v>
      </c>
      <c r="G32" s="108">
        <v>21</v>
      </c>
      <c r="H32" s="108">
        <v>40</v>
      </c>
      <c r="I32" s="108">
        <v>5.5</v>
      </c>
      <c r="J32" s="108">
        <v>-16</v>
      </c>
      <c r="K32" s="108">
        <v>-39</v>
      </c>
      <c r="L32" s="108">
        <v>-44</v>
      </c>
      <c r="M32" s="108" t="s">
        <v>244</v>
      </c>
      <c r="N32" s="108" t="s">
        <v>245</v>
      </c>
      <c r="R32" s="108" t="s">
        <v>129</v>
      </c>
      <c r="T32" s="108">
        <f>IF(T30=0,"a",1)</f>
        <v>1</v>
      </c>
      <c r="X32" s="108" t="s">
        <v>54</v>
      </c>
      <c r="Y32" s="108" t="s">
        <v>241</v>
      </c>
      <c r="AA32" s="108" t="s">
        <v>246</v>
      </c>
      <c r="AB32" s="108" t="s">
        <v>233</v>
      </c>
      <c r="AC32" s="108" t="s">
        <v>234</v>
      </c>
      <c r="AD32" s="108" t="s">
        <v>247</v>
      </c>
      <c r="AE32" s="108" t="s">
        <v>236</v>
      </c>
      <c r="AM32" s="108"/>
      <c r="AN32" s="108"/>
      <c r="AO32" s="108"/>
      <c r="AP32" s="108"/>
      <c r="AQ32" s="108"/>
      <c r="AR32" s="109" t="s">
        <v>4017</v>
      </c>
      <c r="AS32" s="108"/>
      <c r="AT32" s="108"/>
      <c r="AU32" s="108"/>
      <c r="AV32" s="109" t="s">
        <v>3488</v>
      </c>
      <c r="AW32" s="108"/>
      <c r="AX32" s="108"/>
      <c r="AY32" s="108"/>
      <c r="AZ32" s="108"/>
      <c r="BA32" s="108"/>
      <c r="BB32" s="108"/>
      <c r="BC32" s="108"/>
      <c r="BE32" s="108" t="s">
        <v>3877</v>
      </c>
      <c r="BG32" s="108">
        <f>IF(BG11=BF13,1,0)</f>
        <v>0</v>
      </c>
      <c r="BK32" s="108">
        <f>IF(BK11=BJ13,1,0)</f>
        <v>0</v>
      </c>
      <c r="BM32" s="108" t="s">
        <v>3882</v>
      </c>
      <c r="BN32" s="108">
        <f ca="1">IF(BN31=BN24,0,BN31)</f>
        <v>0</v>
      </c>
      <c r="BS32" s="108" t="s">
        <v>3932</v>
      </c>
      <c r="BT32" s="109">
        <f ca="1">DEGREES(ASIN(RADIANS(DEGREES(BT31))))</f>
        <v>11.868907184637903</v>
      </c>
      <c r="BX32" s="108" t="s">
        <v>3565</v>
      </c>
      <c r="CE32" s="109" t="s">
        <v>3913</v>
      </c>
      <c r="CF32" s="108">
        <f>CF20</f>
        <v>0</v>
      </c>
      <c r="CL32" s="108" t="s">
        <v>3879</v>
      </c>
      <c r="CO32" s="108">
        <v>2011</v>
      </c>
      <c r="CP32" s="108">
        <v>17.280575977777694</v>
      </c>
      <c r="CR32" s="108">
        <v>2028</v>
      </c>
      <c r="CS32" s="108">
        <v>1</v>
      </c>
      <c r="CT32" s="108">
        <f t="shared" si="14"/>
        <v>1</v>
      </c>
      <c r="CW32" s="108">
        <v>8</v>
      </c>
      <c r="CX32" s="108">
        <v>31</v>
      </c>
      <c r="CY32" s="108">
        <v>13.957513661202189</v>
      </c>
      <c r="DD32" s="108" t="s">
        <v>3706</v>
      </c>
      <c r="DE32" s="108">
        <f>IF(DE25=DD26,1,0)</f>
        <v>0</v>
      </c>
      <c r="DI32" s="108">
        <f ca="1">IF(DI26&lt;0,DS44,DI28)</f>
        <v>45.591818024612962</v>
      </c>
      <c r="DJ32" s="108" t="s">
        <v>3806</v>
      </c>
      <c r="DK32" s="108">
        <f>DK71</f>
        <v>22.106749999999998</v>
      </c>
      <c r="DM32" s="108">
        <v>60</v>
      </c>
      <c r="DN32" s="108">
        <f t="shared" ca="1" si="15"/>
        <v>8.7626643938957258</v>
      </c>
      <c r="DO32" s="108">
        <f t="shared" ca="1" si="16"/>
        <v>0</v>
      </c>
      <c r="DQ32" s="108">
        <v>6</v>
      </c>
      <c r="DR32" s="108">
        <f t="shared" ca="1" si="17"/>
        <v>5.7598636337435494</v>
      </c>
      <c r="DS32" s="108">
        <f t="shared" ca="1" si="18"/>
        <v>0</v>
      </c>
      <c r="DU32" s="108">
        <f>IF(DU26&lt;0,EE44,DU28)</f>
        <v>57.143999999996851</v>
      </c>
      <c r="DV32" s="108" t="s">
        <v>3806</v>
      </c>
      <c r="DW32" s="108">
        <v>23</v>
      </c>
      <c r="DY32" s="108">
        <v>60</v>
      </c>
      <c r="DZ32" s="108">
        <f t="shared" si="19"/>
        <v>13.032539999999999</v>
      </c>
      <c r="EA32" s="108">
        <f t="shared" si="20"/>
        <v>0</v>
      </c>
      <c r="EC32" s="108">
        <v>6</v>
      </c>
      <c r="ED32" s="108">
        <f t="shared" si="21"/>
        <v>1.9523999999999475</v>
      </c>
      <c r="EE32" s="108">
        <f t="shared" si="22"/>
        <v>0</v>
      </c>
    </row>
    <row r="33" spans="1:135">
      <c r="A33" s="108">
        <v>26</v>
      </c>
      <c r="B33" s="108" t="str">
        <f t="shared" si="0"/>
        <v>α leo</v>
      </c>
      <c r="C33" s="108">
        <f t="shared" si="1"/>
        <v>0</v>
      </c>
      <c r="F33" s="108" t="s">
        <v>248</v>
      </c>
      <c r="G33" s="108">
        <v>21</v>
      </c>
      <c r="H33" s="108">
        <v>47</v>
      </c>
      <c r="I33" s="108">
        <v>2.4</v>
      </c>
      <c r="J33" s="108">
        <v>-16</v>
      </c>
      <c r="K33" s="108">
        <v>-7</v>
      </c>
      <c r="L33" s="108">
        <v>-38</v>
      </c>
      <c r="M33" s="108" t="s">
        <v>249</v>
      </c>
      <c r="N33" s="108" t="s">
        <v>250</v>
      </c>
      <c r="R33" s="108" t="s">
        <v>58</v>
      </c>
      <c r="S33" s="108" t="b">
        <v>0</v>
      </c>
      <c r="T33" s="108" t="b">
        <f>ISNUMBER(T32)</f>
        <v>1</v>
      </c>
      <c r="X33" s="108" t="s">
        <v>251</v>
      </c>
      <c r="Y33" s="108" t="s">
        <v>59</v>
      </c>
      <c r="AA33" s="108" t="s">
        <v>252</v>
      </c>
      <c r="AB33" s="108" t="s">
        <v>253</v>
      </c>
      <c r="AC33" s="108" t="s">
        <v>254</v>
      </c>
      <c r="AD33" s="108" t="s">
        <v>255</v>
      </c>
      <c r="AE33" s="108" t="s">
        <v>256</v>
      </c>
      <c r="AM33" s="108"/>
      <c r="AN33" s="108"/>
      <c r="AO33" s="108"/>
      <c r="AP33" s="108"/>
      <c r="AQ33" s="108"/>
      <c r="AR33" s="108"/>
      <c r="AS33" s="108"/>
      <c r="AT33" s="108" t="s">
        <v>3486</v>
      </c>
      <c r="AU33" s="108"/>
      <c r="AV33" s="108"/>
      <c r="AW33" s="108"/>
      <c r="AX33" s="108"/>
      <c r="AY33" s="108"/>
      <c r="AZ33" s="108"/>
      <c r="BA33" s="108"/>
      <c r="BB33" s="108"/>
      <c r="BC33" s="108"/>
      <c r="BE33" s="108">
        <f>BE29+BI29</f>
        <v>22.106749999999998</v>
      </c>
      <c r="BG33" s="108">
        <f>IF(BG13=BF13,1,0)</f>
        <v>0</v>
      </c>
      <c r="BK33" s="108">
        <f>IF(BK13=BJ13,1,0)</f>
        <v>0</v>
      </c>
      <c r="BM33" s="108" t="s">
        <v>3933</v>
      </c>
      <c r="BN33" s="108">
        <f>BN27*BN30</f>
        <v>0.45786688646956974</v>
      </c>
      <c r="BX33" s="108" t="s">
        <v>3566</v>
      </c>
      <c r="CE33" s="108" t="b">
        <v>0</v>
      </c>
      <c r="CF33" s="108" t="b">
        <f>ISNUMBER(CF32)</f>
        <v>1</v>
      </c>
      <c r="CL33" s="108" t="s">
        <v>3567</v>
      </c>
      <c r="CM33" s="108" t="str">
        <f>IF(CM31=0,CL32,"")</f>
        <v/>
      </c>
      <c r="CO33" s="108">
        <v>2012</v>
      </c>
      <c r="CP33" s="108">
        <v>17.297265348886974</v>
      </c>
      <c r="CR33" s="108">
        <v>2032</v>
      </c>
      <c r="CS33" s="108">
        <v>1</v>
      </c>
      <c r="CT33" s="108">
        <f t="shared" si="14"/>
        <v>1</v>
      </c>
      <c r="CW33" s="108">
        <v>9</v>
      </c>
      <c r="CX33" s="108">
        <v>30</v>
      </c>
      <c r="CY33" s="108">
        <v>15.988888888888891</v>
      </c>
      <c r="DD33" s="108" t="s">
        <v>3710</v>
      </c>
      <c r="DE33" s="108">
        <f>IF(DE26&gt;0,0,1)</f>
        <v>0</v>
      </c>
      <c r="DM33" s="108">
        <v>50</v>
      </c>
      <c r="DN33" s="108">
        <f t="shared" ca="1" si="15"/>
        <v>8.7626643938957258</v>
      </c>
      <c r="DO33" s="108">
        <f t="shared" ca="1" si="16"/>
        <v>0</v>
      </c>
      <c r="DQ33" s="108">
        <v>5</v>
      </c>
      <c r="DR33" s="108">
        <f t="shared" ca="1" si="17"/>
        <v>-1</v>
      </c>
      <c r="DS33" s="108">
        <f t="shared" ca="1" si="18"/>
        <v>1</v>
      </c>
      <c r="DY33" s="108">
        <v>50</v>
      </c>
      <c r="DZ33" s="108">
        <f t="shared" si="19"/>
        <v>13.032539999999999</v>
      </c>
      <c r="EA33" s="108">
        <f t="shared" si="20"/>
        <v>0</v>
      </c>
      <c r="EC33" s="108">
        <v>5</v>
      </c>
      <c r="ED33" s="108">
        <f t="shared" si="21"/>
        <v>1.9523999999999475</v>
      </c>
      <c r="EE33" s="108">
        <f t="shared" si="22"/>
        <v>0</v>
      </c>
    </row>
    <row r="34" spans="1:135">
      <c r="A34" s="108">
        <v>27</v>
      </c>
      <c r="B34" s="108" t="str">
        <f t="shared" si="0"/>
        <v>α leo</v>
      </c>
      <c r="C34" s="108">
        <f t="shared" si="1"/>
        <v>0</v>
      </c>
      <c r="F34" s="108" t="s">
        <v>257</v>
      </c>
      <c r="G34" s="108">
        <v>21</v>
      </c>
      <c r="H34" s="108">
        <v>26</v>
      </c>
      <c r="I34" s="108">
        <v>40</v>
      </c>
      <c r="J34" s="108">
        <v>-22</v>
      </c>
      <c r="K34" s="108">
        <v>-24</v>
      </c>
      <c r="L34" s="108">
        <v>-41</v>
      </c>
      <c r="M34" s="108" t="s">
        <v>258</v>
      </c>
      <c r="N34" s="108" t="s">
        <v>259</v>
      </c>
      <c r="R34" s="108" t="s">
        <v>4006</v>
      </c>
      <c r="S34" s="108" t="s">
        <v>150</v>
      </c>
      <c r="T34" s="108" t="str">
        <f>IF(T33=S33,0,T30)</f>
        <v/>
      </c>
      <c r="X34" s="108" t="s">
        <v>62</v>
      </c>
      <c r="Y34" s="108" t="s">
        <v>59</v>
      </c>
      <c r="AA34" s="108" t="s">
        <v>260</v>
      </c>
      <c r="AB34" s="108" t="s">
        <v>107</v>
      </c>
      <c r="AC34" s="108" t="s">
        <v>261</v>
      </c>
      <c r="AD34" s="108" t="s">
        <v>262</v>
      </c>
      <c r="AE34" s="108" t="s">
        <v>263</v>
      </c>
      <c r="AM34" s="108"/>
      <c r="AN34" s="108"/>
      <c r="AO34" s="108"/>
      <c r="AP34" s="108"/>
      <c r="AQ34" s="108"/>
      <c r="AR34" s="108" t="s">
        <v>3485</v>
      </c>
      <c r="AS34" s="108"/>
      <c r="AT34" s="108">
        <f>AT35</f>
        <v>0</v>
      </c>
      <c r="AU34" s="108"/>
      <c r="AV34" s="108" t="str">
        <f>IF(AT34=0,"",AR34)</f>
        <v/>
      </c>
      <c r="AW34" s="108"/>
      <c r="AX34" s="108"/>
      <c r="AY34" s="108"/>
      <c r="AZ34" s="108"/>
      <c r="BA34" s="108"/>
      <c r="BB34" s="108"/>
      <c r="BC34" s="108"/>
      <c r="BG34" s="108">
        <f>BG31+BG32+BG33</f>
        <v>0</v>
      </c>
      <c r="BK34" s="108">
        <f>BK31+BK32+BK33</f>
        <v>0</v>
      </c>
      <c r="BM34" s="108" t="s">
        <v>3934</v>
      </c>
      <c r="BN34" s="108">
        <f>BN29*BN24/BN25</f>
        <v>8.9944171712416088E-2</v>
      </c>
      <c r="BS34" s="109" t="s">
        <v>3935</v>
      </c>
      <c r="BX34" s="108" t="s">
        <v>3568</v>
      </c>
      <c r="CF34" s="108">
        <f>IF(CF33=CE33,0,CF32)</f>
        <v>0</v>
      </c>
      <c r="CL34" s="108" t="s">
        <v>3569</v>
      </c>
      <c r="CM34" s="108">
        <f>IF(CM31=0,1,0)</f>
        <v>0</v>
      </c>
      <c r="CO34" s="108">
        <v>2013</v>
      </c>
      <c r="CP34" s="108">
        <v>17.248415314817755</v>
      </c>
      <c r="CR34" s="108">
        <v>2036</v>
      </c>
      <c r="CS34" s="108">
        <v>1</v>
      </c>
      <c r="CT34" s="108">
        <f t="shared" si="14"/>
        <v>1</v>
      </c>
      <c r="CW34" s="108">
        <v>10</v>
      </c>
      <c r="CX34" s="108">
        <v>31</v>
      </c>
      <c r="CY34" s="108">
        <v>17.954735883424409</v>
      </c>
      <c r="DD34" s="108" t="s">
        <v>3711</v>
      </c>
      <c r="DE34" s="108">
        <f>IF(DE26&gt;90,1,0)</f>
        <v>0</v>
      </c>
      <c r="DI34" s="109" t="s">
        <v>3807</v>
      </c>
      <c r="DM34" s="108">
        <v>40</v>
      </c>
      <c r="DN34" s="108">
        <f t="shared" ca="1" si="15"/>
        <v>8.7626643938957258</v>
      </c>
      <c r="DO34" s="108">
        <f t="shared" ca="1" si="16"/>
        <v>0</v>
      </c>
      <c r="DQ34" s="108">
        <v>4</v>
      </c>
      <c r="DR34" s="108">
        <f t="shared" ca="1" si="17"/>
        <v>-1</v>
      </c>
      <c r="DS34" s="108">
        <f t="shared" ca="1" si="18"/>
        <v>1</v>
      </c>
      <c r="DU34" s="109" t="s">
        <v>3807</v>
      </c>
      <c r="DY34" s="108">
        <v>40</v>
      </c>
      <c r="DZ34" s="108">
        <f t="shared" si="19"/>
        <v>13.032539999999999</v>
      </c>
      <c r="EA34" s="108">
        <f t="shared" si="20"/>
        <v>0</v>
      </c>
      <c r="EC34" s="108">
        <v>4</v>
      </c>
      <c r="ED34" s="108">
        <f t="shared" si="21"/>
        <v>1.9523999999999475</v>
      </c>
      <c r="EE34" s="108">
        <f t="shared" si="22"/>
        <v>0</v>
      </c>
    </row>
    <row r="35" spans="1:135">
      <c r="A35" s="108">
        <v>28</v>
      </c>
      <c r="B35" s="108" t="str">
        <f t="shared" si="0"/>
        <v>α leo</v>
      </c>
      <c r="C35" s="108">
        <f t="shared" si="1"/>
        <v>0</v>
      </c>
      <c r="F35" s="108" t="s">
        <v>264</v>
      </c>
      <c r="G35" s="108">
        <v>21</v>
      </c>
      <c r="H35" s="108">
        <v>5</v>
      </c>
      <c r="I35" s="108">
        <v>56.8</v>
      </c>
      <c r="J35" s="108">
        <v>-17</v>
      </c>
      <c r="K35" s="108">
        <v>-13</v>
      </c>
      <c r="L35" s="108">
        <v>-58</v>
      </c>
      <c r="M35" s="108" t="s">
        <v>265</v>
      </c>
      <c r="N35" s="108" t="s">
        <v>266</v>
      </c>
      <c r="R35" s="108" t="s">
        <v>129</v>
      </c>
      <c r="T35" s="108">
        <f>IF(T31=0,"a",1)</f>
        <v>1</v>
      </c>
      <c r="X35" s="108" t="s">
        <v>267</v>
      </c>
      <c r="Y35" s="108" t="s">
        <v>268</v>
      </c>
      <c r="AA35" s="108" t="s">
        <v>269</v>
      </c>
      <c r="AB35" s="108" t="s">
        <v>270</v>
      </c>
      <c r="AC35" s="108" t="s">
        <v>271</v>
      </c>
      <c r="AD35" s="108" t="s">
        <v>272</v>
      </c>
      <c r="AE35" s="108" t="s">
        <v>273</v>
      </c>
      <c r="AM35" s="108"/>
      <c r="AN35" s="108"/>
      <c r="AO35" s="108"/>
      <c r="AP35" s="108"/>
      <c r="AQ35" s="108"/>
      <c r="AR35" s="108" t="s">
        <v>13</v>
      </c>
      <c r="AS35" s="108">
        <f ca="1">AS14</f>
        <v>10</v>
      </c>
      <c r="AT35" s="108">
        <f>BE41</f>
        <v>0</v>
      </c>
      <c r="AU35" s="108"/>
      <c r="AV35" s="108" t="str">
        <f>IF(AT35=0,"",AR35)</f>
        <v/>
      </c>
      <c r="AW35" s="108" t="str">
        <f>IF(AT35=0,"",AJ39)</f>
        <v/>
      </c>
      <c r="AX35" s="108"/>
      <c r="AY35" s="108"/>
      <c r="AZ35" s="108"/>
      <c r="BA35" s="108"/>
      <c r="BB35" s="108"/>
      <c r="BC35" s="108"/>
      <c r="BE35" s="108">
        <f>IF(BG35=0,0,1)</f>
        <v>0</v>
      </c>
      <c r="BF35" s="108" t="s">
        <v>3473</v>
      </c>
      <c r="BG35" s="108">
        <f>IF(BG34=0,0,1)</f>
        <v>0</v>
      </c>
      <c r="BI35" s="108">
        <f>IF(BK35=0,0,1)</f>
        <v>0</v>
      </c>
      <c r="BJ35" s="108" t="s">
        <v>3473</v>
      </c>
      <c r="BK35" s="108">
        <f>IF(BK34=0,0,1)</f>
        <v>0</v>
      </c>
      <c r="BM35" s="108" t="s">
        <v>3936</v>
      </c>
      <c r="BN35" s="108">
        <f>BN29/BN25</f>
        <v>0.22601955286759143</v>
      </c>
      <c r="BS35" s="108" t="s">
        <v>3937</v>
      </c>
      <c r="BT35" s="108">
        <f ca="1">BT31</f>
        <v>0.20567314563015096</v>
      </c>
      <c r="BX35" s="108" t="s">
        <v>3570</v>
      </c>
      <c r="CF35" s="110">
        <f>CF34</f>
        <v>0</v>
      </c>
      <c r="CO35" s="108">
        <v>2014</v>
      </c>
      <c r="CP35" s="108">
        <v>17.265104685927035</v>
      </c>
      <c r="CR35" s="108">
        <v>2040</v>
      </c>
      <c r="CS35" s="108">
        <v>1</v>
      </c>
      <c r="CT35" s="108">
        <f t="shared" si="14"/>
        <v>1</v>
      </c>
      <c r="CW35" s="108">
        <v>11</v>
      </c>
      <c r="CX35" s="108">
        <v>30</v>
      </c>
      <c r="CY35" s="108">
        <v>19.986111111111111</v>
      </c>
      <c r="DD35" s="108" t="s">
        <v>3712</v>
      </c>
      <c r="DE35" s="108">
        <f>DE32+DE33+DE34</f>
        <v>0</v>
      </c>
      <c r="DI35" s="108">
        <f ca="1">IF(DK35=0,"",DI30)</f>
        <v>8</v>
      </c>
      <c r="DJ35" s="108" t="s">
        <v>3808</v>
      </c>
      <c r="DK35" s="108">
        <f>DK32</f>
        <v>22.106749999999998</v>
      </c>
      <c r="DM35" s="108">
        <v>30</v>
      </c>
      <c r="DN35" s="108">
        <f t="shared" ca="1" si="15"/>
        <v>8.7626643938957258</v>
      </c>
      <c r="DO35" s="108">
        <f t="shared" ca="1" si="16"/>
        <v>0</v>
      </c>
      <c r="DQ35" s="108">
        <v>3</v>
      </c>
      <c r="DR35" s="108">
        <f t="shared" ca="1" si="17"/>
        <v>-1</v>
      </c>
      <c r="DS35" s="108">
        <f t="shared" ca="1" si="18"/>
        <v>1</v>
      </c>
      <c r="DU35" s="108">
        <f>IF(DW35=0,"",DU30)</f>
        <v>13</v>
      </c>
      <c r="DV35" s="108" t="s">
        <v>3808</v>
      </c>
      <c r="DW35" s="108">
        <f>DW32</f>
        <v>23</v>
      </c>
      <c r="DY35" s="108">
        <v>30</v>
      </c>
      <c r="DZ35" s="108">
        <f t="shared" si="19"/>
        <v>13.032539999999999</v>
      </c>
      <c r="EA35" s="108">
        <f t="shared" si="20"/>
        <v>0</v>
      </c>
      <c r="EC35" s="108">
        <v>3</v>
      </c>
      <c r="ED35" s="108">
        <f t="shared" si="21"/>
        <v>1.9523999999999475</v>
      </c>
      <c r="EE35" s="108">
        <f t="shared" si="22"/>
        <v>0</v>
      </c>
    </row>
    <row r="36" spans="1:135">
      <c r="A36" s="108">
        <v>29</v>
      </c>
      <c r="B36" s="108" t="str">
        <f t="shared" si="0"/>
        <v>α leo</v>
      </c>
      <c r="C36" s="108">
        <f t="shared" si="1"/>
        <v>0</v>
      </c>
      <c r="F36" s="108" t="s">
        <v>274</v>
      </c>
      <c r="G36" s="108">
        <v>21</v>
      </c>
      <c r="H36" s="108">
        <v>22</v>
      </c>
      <c r="I36" s="108">
        <v>14.8</v>
      </c>
      <c r="J36" s="108">
        <v>-16</v>
      </c>
      <c r="K36" s="108">
        <v>-50</v>
      </c>
      <c r="L36" s="108">
        <v>-4</v>
      </c>
      <c r="M36" s="108" t="s">
        <v>275</v>
      </c>
      <c r="N36" s="108" t="s">
        <v>276</v>
      </c>
      <c r="R36" s="108" t="s">
        <v>58</v>
      </c>
      <c r="S36" s="108" t="b">
        <v>0</v>
      </c>
      <c r="T36" s="108" t="b">
        <f>ISNUMBER(T35)</f>
        <v>1</v>
      </c>
      <c r="X36" s="108" t="s">
        <v>277</v>
      </c>
      <c r="Y36" s="108" t="s">
        <v>268</v>
      </c>
      <c r="AA36" s="108" t="s">
        <v>278</v>
      </c>
      <c r="AB36" s="108" t="s">
        <v>60</v>
      </c>
      <c r="AC36" s="108" t="s">
        <v>279</v>
      </c>
      <c r="AD36" s="108" t="s">
        <v>280</v>
      </c>
      <c r="AE36" s="108" t="s">
        <v>281</v>
      </c>
      <c r="AI36" s="109" t="s">
        <v>282</v>
      </c>
      <c r="AM36" s="108"/>
      <c r="AN36" s="108"/>
      <c r="AO36" s="108"/>
      <c r="AP36" s="108"/>
      <c r="AQ36" s="108"/>
      <c r="AR36" s="108" t="s">
        <v>14</v>
      </c>
      <c r="AS36" s="108">
        <f t="shared" ref="AS36:AS37" ca="1" si="23">AS15</f>
        <v>9</v>
      </c>
      <c r="AT36" s="108">
        <f>AT35</f>
        <v>0</v>
      </c>
      <c r="AU36" s="108"/>
      <c r="AV36" s="108" t="str">
        <f t="shared" ref="AV36:AV37" si="24">IF(AT36=0,"",AR36)</f>
        <v/>
      </c>
      <c r="AW36" s="108" t="str">
        <f>IF(AT36=0,"",AJ40)</f>
        <v/>
      </c>
      <c r="AX36" s="108"/>
      <c r="AY36" s="108"/>
      <c r="AZ36" s="108"/>
      <c r="BA36" s="108"/>
      <c r="BB36" s="108"/>
      <c r="BC36" s="108"/>
      <c r="BE36" s="108">
        <f>IF(BG36=0,0,1)</f>
        <v>0</v>
      </c>
      <c r="BF36" s="108" t="s">
        <v>3474</v>
      </c>
      <c r="BG36" s="108">
        <f>IF(BG25&lt;1,2,0)</f>
        <v>0</v>
      </c>
      <c r="BI36" s="108">
        <f>IF(BK36=0,0,1)</f>
        <v>0</v>
      </c>
      <c r="BJ36" s="108" t="s">
        <v>3474</v>
      </c>
      <c r="BK36" s="108">
        <f>IF(BK25&lt;1,2,0)</f>
        <v>0</v>
      </c>
      <c r="BM36" s="108" t="s">
        <v>3757</v>
      </c>
      <c r="BN36" s="108">
        <f>BN33+BN34</f>
        <v>0.54781105818198583</v>
      </c>
      <c r="BS36" s="108" t="s">
        <v>3938</v>
      </c>
      <c r="BT36" s="108">
        <f ca="1">SQRT(1-(BT35*BT35))</f>
        <v>0.97862074225237972</v>
      </c>
      <c r="BX36" s="108" t="s">
        <v>3572</v>
      </c>
      <c r="CL36" s="109" t="s">
        <v>3939</v>
      </c>
      <c r="CM36" s="108">
        <f>CM20</f>
        <v>23.908000000000001</v>
      </c>
      <c r="CO36" s="108">
        <v>2015</v>
      </c>
      <c r="CP36" s="108">
        <v>17.281794057036315</v>
      </c>
      <c r="CT36" s="109">
        <f>CT35</f>
        <v>1</v>
      </c>
      <c r="CW36" s="108">
        <v>12</v>
      </c>
      <c r="CX36" s="108">
        <v>31</v>
      </c>
      <c r="CY36" s="108">
        <v>21.951958105646629</v>
      </c>
      <c r="DI36" s="108">
        <f t="shared" ref="DI36:DI37" ca="1" si="25">IF(DK36=0,"",DI31)</f>
        <v>45</v>
      </c>
      <c r="DK36" s="108">
        <f>DK32</f>
        <v>22.106749999999998</v>
      </c>
      <c r="DM36" s="108">
        <v>20</v>
      </c>
      <c r="DN36" s="108">
        <f t="shared" ca="1" si="15"/>
        <v>8.7626643938957258</v>
      </c>
      <c r="DO36" s="108">
        <f t="shared" ca="1" si="16"/>
        <v>0</v>
      </c>
      <c r="DQ36" s="108">
        <v>2</v>
      </c>
      <c r="DR36" s="108">
        <f t="shared" ca="1" si="17"/>
        <v>-1</v>
      </c>
      <c r="DS36" s="108">
        <f t="shared" ca="1" si="18"/>
        <v>1</v>
      </c>
      <c r="DU36" s="108">
        <f t="shared" ref="DU36:DU37" si="26">IF(DW36=0,"",DU31)</f>
        <v>1</v>
      </c>
      <c r="DW36" s="108">
        <f>DW32</f>
        <v>23</v>
      </c>
      <c r="DY36" s="108">
        <v>20</v>
      </c>
      <c r="DZ36" s="108">
        <f t="shared" si="19"/>
        <v>13.032539999999999</v>
      </c>
      <c r="EA36" s="108">
        <f t="shared" si="20"/>
        <v>0</v>
      </c>
      <c r="EC36" s="108">
        <v>2</v>
      </c>
      <c r="ED36" s="108">
        <f t="shared" si="21"/>
        <v>1.9523999999999475</v>
      </c>
      <c r="EE36" s="108">
        <f t="shared" si="22"/>
        <v>0</v>
      </c>
    </row>
    <row r="37" spans="1:135">
      <c r="A37" s="108">
        <v>30</v>
      </c>
      <c r="B37" s="108" t="str">
        <f t="shared" si="0"/>
        <v>α leo</v>
      </c>
      <c r="C37" s="108">
        <f t="shared" si="1"/>
        <v>0</v>
      </c>
      <c r="F37" s="108" t="s">
        <v>283</v>
      </c>
      <c r="G37" s="108">
        <v>20</v>
      </c>
      <c r="H37" s="108">
        <v>46</v>
      </c>
      <c r="I37" s="108">
        <v>5.7</v>
      </c>
      <c r="J37" s="108">
        <v>-25</v>
      </c>
      <c r="K37" s="108">
        <v>-16</v>
      </c>
      <c r="L37" s="108">
        <v>-15</v>
      </c>
      <c r="M37" s="108" t="s">
        <v>284</v>
      </c>
      <c r="N37" s="108" t="s">
        <v>285</v>
      </c>
      <c r="R37" s="108" t="s">
        <v>4007</v>
      </c>
      <c r="S37" s="108" t="s">
        <v>179</v>
      </c>
      <c r="T37" s="108" t="str">
        <f>IF(T36=S36,0,T31)</f>
        <v xml:space="preserve"> </v>
      </c>
      <c r="X37" s="108" t="s">
        <v>286</v>
      </c>
      <c r="Y37" s="108" t="s">
        <v>268</v>
      </c>
      <c r="AA37" s="108" t="s">
        <v>287</v>
      </c>
      <c r="AB37" s="108" t="s">
        <v>288</v>
      </c>
      <c r="AC37" s="108" t="s">
        <v>289</v>
      </c>
      <c r="AD37" s="108" t="s">
        <v>290</v>
      </c>
      <c r="AE37" s="108" t="s">
        <v>291</v>
      </c>
      <c r="AI37" s="109" t="s">
        <v>4008</v>
      </c>
      <c r="AJ37" s="108">
        <f>B1209</f>
        <v>368</v>
      </c>
      <c r="AM37" s="108"/>
      <c r="AN37" s="108"/>
      <c r="AO37" s="108"/>
      <c r="AP37" s="108"/>
      <c r="AQ37" s="108"/>
      <c r="AR37" s="108" t="s">
        <v>3462</v>
      </c>
      <c r="AS37" s="108">
        <f t="shared" ca="1" si="23"/>
        <v>26.401361822438787</v>
      </c>
      <c r="AT37" s="108">
        <f>AT36</f>
        <v>0</v>
      </c>
      <c r="AU37" s="108"/>
      <c r="AV37" s="108" t="str">
        <f t="shared" si="24"/>
        <v/>
      </c>
      <c r="AW37" s="108" t="str">
        <f>IF(AT37=0,"",AJ41)</f>
        <v/>
      </c>
      <c r="AX37" s="108"/>
      <c r="AY37" s="108"/>
      <c r="AZ37" s="108"/>
      <c r="BA37" s="108"/>
      <c r="BB37" s="108"/>
      <c r="BC37" s="108"/>
      <c r="BE37" s="108">
        <f>IF(BG37=0,0,1)</f>
        <v>0</v>
      </c>
      <c r="BF37" s="108" t="s">
        <v>3475</v>
      </c>
      <c r="BG37" s="108">
        <f>IF(BG28&gt;24,3,0)</f>
        <v>0</v>
      </c>
      <c r="BI37" s="108">
        <f>IF(BK37=0,0,1)</f>
        <v>0</v>
      </c>
      <c r="BJ37" s="108" t="s">
        <v>3476</v>
      </c>
      <c r="BK37" s="108">
        <f>IF(BK28&gt;90,3,0)</f>
        <v>0</v>
      </c>
      <c r="BM37" s="108" t="s">
        <v>3758</v>
      </c>
      <c r="BN37" s="108">
        <f>BN36*BN24</f>
        <v>0.21800066081869499</v>
      </c>
      <c r="BP37" s="112"/>
      <c r="BS37" s="108" t="s">
        <v>3759</v>
      </c>
      <c r="BT37" s="108">
        <f ca="1">BT30*BT19</f>
        <v>8.9215892626115595E-2</v>
      </c>
      <c r="BX37" s="109" t="s">
        <v>3940</v>
      </c>
      <c r="CH37" s="108" t="s">
        <v>1</v>
      </c>
      <c r="CL37" s="108" t="s">
        <v>103</v>
      </c>
      <c r="CM37" s="108" t="b">
        <f>ISNUMBER(CM36)</f>
        <v>1</v>
      </c>
      <c r="CO37" s="108">
        <v>2016</v>
      </c>
      <c r="CP37" s="108">
        <v>17.298483428145595</v>
      </c>
      <c r="CR37" s="108" t="s">
        <v>3941</v>
      </c>
      <c r="CW37" s="108">
        <v>13</v>
      </c>
      <c r="CX37" s="108">
        <v>0</v>
      </c>
      <c r="CY37" s="108">
        <v>0</v>
      </c>
      <c r="DI37" s="108">
        <f t="shared" ca="1" si="25"/>
        <v>45.591818024612962</v>
      </c>
      <c r="DK37" s="108">
        <f>DK32</f>
        <v>22.106749999999998</v>
      </c>
      <c r="DM37" s="108">
        <v>10</v>
      </c>
      <c r="DN37" s="108">
        <f t="shared" ca="1" si="15"/>
        <v>8.7626643938957258</v>
      </c>
      <c r="DO37" s="108">
        <f t="shared" ca="1" si="16"/>
        <v>0</v>
      </c>
      <c r="DQ37" s="108">
        <v>1</v>
      </c>
      <c r="DR37" s="108">
        <f t="shared" ca="1" si="17"/>
        <v>-1</v>
      </c>
      <c r="DS37" s="108">
        <f t="shared" ca="1" si="18"/>
        <v>1</v>
      </c>
      <c r="DU37" s="108">
        <f t="shared" si="26"/>
        <v>57.143999999996851</v>
      </c>
      <c r="DW37" s="108">
        <f>DW32</f>
        <v>23</v>
      </c>
      <c r="DY37" s="108">
        <v>10</v>
      </c>
      <c r="DZ37" s="108">
        <f t="shared" si="19"/>
        <v>-1</v>
      </c>
      <c r="EA37" s="108">
        <f t="shared" si="20"/>
        <v>10</v>
      </c>
      <c r="EC37" s="108">
        <v>1</v>
      </c>
      <c r="ED37" s="108">
        <f t="shared" si="21"/>
        <v>-1</v>
      </c>
      <c r="EE37" s="108">
        <f t="shared" si="22"/>
        <v>1</v>
      </c>
    </row>
    <row r="38" spans="1:135">
      <c r="A38" s="108">
        <v>31</v>
      </c>
      <c r="B38" s="108" t="str">
        <f t="shared" si="0"/>
        <v>α leo</v>
      </c>
      <c r="C38" s="108">
        <f t="shared" si="1"/>
        <v>0</v>
      </c>
      <c r="F38" s="108" t="s">
        <v>292</v>
      </c>
      <c r="G38" s="108">
        <v>20</v>
      </c>
      <c r="H38" s="108">
        <v>51</v>
      </c>
      <c r="I38" s="108">
        <v>49.3</v>
      </c>
      <c r="J38" s="108">
        <v>-26</v>
      </c>
      <c r="K38" s="108">
        <v>-55</v>
      </c>
      <c r="L38" s="108">
        <v>-9</v>
      </c>
      <c r="M38" s="108" t="s">
        <v>293</v>
      </c>
      <c r="N38" s="108" t="s">
        <v>294</v>
      </c>
      <c r="S38" s="108" t="s">
        <v>150</v>
      </c>
      <c r="T38" s="108" t="str">
        <f>IF(T34=0,T29,T34)</f>
        <v/>
      </c>
      <c r="X38" s="108" t="s">
        <v>295</v>
      </c>
      <c r="Y38" s="108" t="s">
        <v>268</v>
      </c>
      <c r="AA38" s="108" t="s">
        <v>296</v>
      </c>
      <c r="AB38" s="108" t="s">
        <v>297</v>
      </c>
      <c r="AC38" s="108" t="s">
        <v>298</v>
      </c>
      <c r="AD38" s="108" t="s">
        <v>299</v>
      </c>
      <c r="AE38" s="108" t="s">
        <v>300</v>
      </c>
      <c r="AI38" s="109" t="s">
        <v>301</v>
      </c>
      <c r="AM38" s="108"/>
      <c r="AN38" s="108"/>
      <c r="AO38" s="108"/>
      <c r="AP38" s="108"/>
      <c r="AQ38" s="108"/>
      <c r="AR38" s="108"/>
      <c r="AS38" s="108" t="s">
        <v>3487</v>
      </c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E38" s="108">
        <f>IF(BG38=0,0,1)</f>
        <v>0</v>
      </c>
      <c r="BF38" s="108" t="s">
        <v>3477</v>
      </c>
      <c r="BG38" s="108">
        <f>IF(BG28&lt;0,4,0)</f>
        <v>0</v>
      </c>
      <c r="BI38" s="108">
        <f>IF(BK38=0,0,1)</f>
        <v>0</v>
      </c>
      <c r="BJ38" s="108" t="s">
        <v>3478</v>
      </c>
      <c r="BK38" s="108">
        <f>IF(BK28&lt;-90,4,0)</f>
        <v>0</v>
      </c>
      <c r="BM38" s="108" t="s">
        <v>3883</v>
      </c>
      <c r="BN38" s="108">
        <f ca="1">BN32+BN35-BN37</f>
        <v>8.0188920488964421E-3</v>
      </c>
      <c r="BS38" s="108" t="s">
        <v>3760</v>
      </c>
      <c r="BT38" s="108">
        <f ca="1">BT28-BT37</f>
        <v>0.45399637312390706</v>
      </c>
      <c r="BX38" s="108" t="s">
        <v>3573</v>
      </c>
      <c r="CE38" s="108" t="s">
        <v>3575</v>
      </c>
      <c r="CF38" s="108">
        <v>31</v>
      </c>
      <c r="CG38" s="108" t="s">
        <v>3503</v>
      </c>
      <c r="CH38" s="108">
        <f>CF46</f>
        <v>1</v>
      </c>
      <c r="CL38" s="108" t="b">
        <v>0</v>
      </c>
      <c r="CO38" s="108">
        <v>2017</v>
      </c>
      <c r="CP38" s="108">
        <v>17.249633394076376</v>
      </c>
      <c r="CW38" s="109" t="s">
        <v>146</v>
      </c>
      <c r="CX38" s="108">
        <f>LOOKUP(CX22,(CW24:CW37),(CX24:CX37))</f>
        <v>29</v>
      </c>
      <c r="CY38" s="108">
        <f>LOOKUP(CX22,(CW24:CW37),(CY24:CY37))</f>
        <v>2.031375227686703</v>
      </c>
      <c r="DD38" s="108" t="s">
        <v>3662</v>
      </c>
      <c r="DE38" s="108">
        <f>DE26</f>
        <v>37</v>
      </c>
      <c r="DJ38" s="113" t="s">
        <v>3712</v>
      </c>
      <c r="DK38" s="108">
        <f>BE53</f>
        <v>0</v>
      </c>
      <c r="DO38" s="108">
        <f ca="1">SUM(DO29:DO37)</f>
        <v>0</v>
      </c>
      <c r="DQ38" s="108" t="s">
        <v>3804</v>
      </c>
      <c r="DS38" s="108">
        <f ca="1">SUM(DS29:DS37)</f>
        <v>5</v>
      </c>
      <c r="EA38" s="108">
        <f>SUM(EA29:EA37)</f>
        <v>10</v>
      </c>
      <c r="EC38" s="108" t="s">
        <v>3804</v>
      </c>
      <c r="EE38" s="108">
        <f>SUM(EE29:EE37)</f>
        <v>1</v>
      </c>
    </row>
    <row r="39" spans="1:135">
      <c r="A39" s="108">
        <v>32</v>
      </c>
      <c r="B39" s="108" t="str">
        <f t="shared" si="0"/>
        <v>α leo</v>
      </c>
      <c r="C39" s="108">
        <f t="shared" si="1"/>
        <v>0</v>
      </c>
      <c r="F39" s="108" t="s">
        <v>302</v>
      </c>
      <c r="N39" s="108" t="s">
        <v>205</v>
      </c>
      <c r="S39" s="108" t="s">
        <v>179</v>
      </c>
      <c r="T39" s="108" t="str">
        <f>T37</f>
        <v xml:space="preserve"> </v>
      </c>
      <c r="X39" s="108" t="s">
        <v>303</v>
      </c>
      <c r="Y39" s="108" t="s">
        <v>304</v>
      </c>
      <c r="AA39" s="108" t="s">
        <v>305</v>
      </c>
      <c r="AB39" s="108" t="s">
        <v>306</v>
      </c>
      <c r="AC39" s="108" t="s">
        <v>307</v>
      </c>
      <c r="AD39" s="108" t="s">
        <v>308</v>
      </c>
      <c r="AE39" s="108" t="s">
        <v>309</v>
      </c>
      <c r="AJ39" s="108">
        <f>LOOKUP(AJ37,(A5:A1209),(G5:G1209))</f>
        <v>10</v>
      </c>
      <c r="AM39" s="108"/>
      <c r="AN39" s="108"/>
      <c r="AO39" s="108"/>
      <c r="AP39" s="108"/>
      <c r="AQ39" s="108"/>
      <c r="AR39" s="108" t="s">
        <v>3450</v>
      </c>
      <c r="AS39" s="108"/>
      <c r="AT39" s="108">
        <f>AT40</f>
        <v>0</v>
      </c>
      <c r="AU39" s="108"/>
      <c r="AV39" s="108" t="str">
        <f>IF(AT39=0,"",AR39)</f>
        <v/>
      </c>
      <c r="AW39" s="108"/>
      <c r="AX39" s="108"/>
      <c r="AY39" s="108"/>
      <c r="AZ39" s="108"/>
      <c r="BA39" s="108"/>
      <c r="BB39" s="108"/>
      <c r="BC39" s="108"/>
      <c r="BE39" s="109" t="s">
        <v>3479</v>
      </c>
      <c r="BF39" s="108" t="s">
        <v>3480</v>
      </c>
      <c r="BG39" s="108">
        <f>IF(BE41&gt;1,5,0)</f>
        <v>0</v>
      </c>
      <c r="BI39" s="109" t="s">
        <v>3479</v>
      </c>
      <c r="BJ39" s="108" t="s">
        <v>3480</v>
      </c>
      <c r="BK39" s="108">
        <f>IF(BI41&gt;1,5,0)</f>
        <v>0</v>
      </c>
      <c r="BM39" s="108" t="s">
        <v>3942</v>
      </c>
      <c r="BS39" s="108" t="s">
        <v>3943</v>
      </c>
      <c r="BT39" s="108">
        <f ca="1">IF(BT35=1,0.000000000001,BT36)</f>
        <v>0.97862074225237972</v>
      </c>
      <c r="BX39" s="108" t="s">
        <v>3574</v>
      </c>
      <c r="CE39" s="108" t="s">
        <v>3578</v>
      </c>
      <c r="CF39" s="108">
        <v>30</v>
      </c>
      <c r="CG39" s="108">
        <v>3</v>
      </c>
      <c r="CL39" s="108" t="s">
        <v>3576</v>
      </c>
      <c r="CM39" s="108">
        <f>IF(CM37=CL38,1,0)</f>
        <v>0</v>
      </c>
      <c r="CO39" s="108">
        <v>2018</v>
      </c>
      <c r="CP39" s="108">
        <v>17.266322765185656</v>
      </c>
      <c r="CS39" s="109" t="s">
        <v>146</v>
      </c>
      <c r="CT39" s="109">
        <f>IF(CT36=1,1,2)</f>
        <v>1</v>
      </c>
      <c r="DD39" s="108" t="s">
        <v>3664</v>
      </c>
      <c r="DE39" s="108">
        <f>IF(DE38=0,0.000000001,DE38)</f>
        <v>37</v>
      </c>
      <c r="DI39" s="108">
        <f ca="1">IF(DK39=0,DI35,"")</f>
        <v>8</v>
      </c>
      <c r="DK39" s="108">
        <f>DK38</f>
        <v>0</v>
      </c>
      <c r="DO39" s="108">
        <f ca="1">DN28-DO38</f>
        <v>8.7626643938957258</v>
      </c>
      <c r="DQ39" s="108" t="s">
        <v>3809</v>
      </c>
      <c r="DS39" s="108">
        <f ca="1">DS38+DS26</f>
        <v>45</v>
      </c>
      <c r="EA39" s="108">
        <f>DZ28-EA38</f>
        <v>3.0325399999999991</v>
      </c>
      <c r="EC39" s="108" t="s">
        <v>3809</v>
      </c>
      <c r="EE39" s="108">
        <f>EE38+EE26</f>
        <v>1</v>
      </c>
    </row>
    <row r="40" spans="1:135">
      <c r="A40" s="108">
        <v>33</v>
      </c>
      <c r="B40" s="108" t="str">
        <f t="shared" si="0"/>
        <v>α leo</v>
      </c>
      <c r="C40" s="108">
        <f t="shared" si="1"/>
        <v>0</v>
      </c>
      <c r="F40" s="108" t="s">
        <v>310</v>
      </c>
      <c r="G40" s="108">
        <v>19</v>
      </c>
      <c r="H40" s="108">
        <v>28</v>
      </c>
      <c r="I40" s="108">
        <v>42.3</v>
      </c>
      <c r="J40" s="108">
        <v>24</v>
      </c>
      <c r="K40" s="108">
        <v>39</v>
      </c>
      <c r="L40" s="108">
        <v>54</v>
      </c>
      <c r="M40" s="108" t="s">
        <v>311</v>
      </c>
      <c r="N40" s="108" t="s">
        <v>312</v>
      </c>
      <c r="X40" s="108" t="s">
        <v>313</v>
      </c>
      <c r="Y40" s="108" t="s">
        <v>304</v>
      </c>
      <c r="AA40" s="108" t="s">
        <v>314</v>
      </c>
      <c r="AB40" s="108" t="s">
        <v>315</v>
      </c>
      <c r="AC40" s="108" t="s">
        <v>316</v>
      </c>
      <c r="AD40" s="108" t="s">
        <v>317</v>
      </c>
      <c r="AE40" s="108" t="s">
        <v>318</v>
      </c>
      <c r="AJ40" s="108">
        <f>LOOKUP(AJ37,(A5:A1209),(H5:H1209))</f>
        <v>8</v>
      </c>
      <c r="AM40" s="108"/>
      <c r="AN40" s="108"/>
      <c r="AO40" s="108"/>
      <c r="AP40" s="108"/>
      <c r="AQ40" s="108"/>
      <c r="AR40" s="108" t="s">
        <v>16</v>
      </c>
      <c r="AS40" s="108">
        <f ca="1">AS18</f>
        <v>11</v>
      </c>
      <c r="AT40" s="108">
        <f>BI41</f>
        <v>0</v>
      </c>
      <c r="AU40" s="108"/>
      <c r="AV40" s="108" t="str">
        <f t="shared" ref="AV40:AV42" si="27">IF(AT40=0,"",AR40)</f>
        <v/>
      </c>
      <c r="AW40" s="108" t="str">
        <f>IF(AT40=0,"",AJ43)</f>
        <v/>
      </c>
      <c r="AX40" s="108"/>
      <c r="AY40" s="108"/>
      <c r="AZ40" s="108"/>
      <c r="BA40" s="108"/>
      <c r="BB40" s="108"/>
      <c r="BC40" s="108"/>
      <c r="BE40" s="109" t="s">
        <v>3482</v>
      </c>
      <c r="BG40" s="108">
        <f>BG35+BG36+BG37+BG38+BG39+BG30</f>
        <v>0</v>
      </c>
      <c r="BI40" s="109" t="s">
        <v>3483</v>
      </c>
      <c r="BK40" s="108">
        <f>BK35+BK36+BK37+BK38+BK39</f>
        <v>0</v>
      </c>
      <c r="BM40" s="108" t="s">
        <v>3761</v>
      </c>
      <c r="BS40" s="108" t="s">
        <v>3944</v>
      </c>
      <c r="BT40" s="108">
        <f ca="1">IF(BT35=-1,-0.000000000001,BT39)</f>
        <v>0.97862074225237972</v>
      </c>
      <c r="BX40" s="108" t="s">
        <v>3577</v>
      </c>
      <c r="CE40" s="108" t="s">
        <v>3581</v>
      </c>
      <c r="CF40" s="108">
        <v>31</v>
      </c>
      <c r="CG40" s="108">
        <v>4</v>
      </c>
      <c r="CL40" s="108" t="s">
        <v>3579</v>
      </c>
      <c r="CM40" s="108" t="str">
        <f>IF(CM37=CL38,CL40,"")</f>
        <v/>
      </c>
      <c r="CO40" s="108">
        <v>2019</v>
      </c>
      <c r="CP40" s="108">
        <v>17.283012136294936</v>
      </c>
      <c r="DD40" s="108" t="s">
        <v>3945</v>
      </c>
      <c r="DE40" s="108">
        <f>DE39</f>
        <v>37</v>
      </c>
      <c r="DI40" s="108">
        <f t="shared" ref="DI40:DI41" ca="1" si="28">IF(DK40=0,DI36,"")</f>
        <v>45</v>
      </c>
      <c r="DK40" s="108">
        <f>DK38</f>
        <v>0</v>
      </c>
      <c r="DN40" s="108">
        <f ca="1">DO39</f>
        <v>8.7626643938957258</v>
      </c>
      <c r="DQ40" s="108" t="s">
        <v>3810</v>
      </c>
      <c r="DS40" s="108">
        <f ca="1">DR16-DS39</f>
        <v>0.75986363374354937</v>
      </c>
      <c r="DZ40" s="108">
        <f>EA39</f>
        <v>3.0325399999999991</v>
      </c>
      <c r="EC40" s="108" t="s">
        <v>3810</v>
      </c>
      <c r="EE40" s="108">
        <f>ED16-EE39</f>
        <v>0.95239999999994751</v>
      </c>
    </row>
    <row r="41" spans="1:135">
      <c r="A41" s="108">
        <v>34</v>
      </c>
      <c r="B41" s="108" t="str">
        <f t="shared" si="0"/>
        <v>α leo</v>
      </c>
      <c r="C41" s="108">
        <f t="shared" si="1"/>
        <v>0</v>
      </c>
      <c r="F41" s="108" t="s">
        <v>319</v>
      </c>
      <c r="M41" s="108" t="s">
        <v>320</v>
      </c>
      <c r="N41" s="108" t="s">
        <v>321</v>
      </c>
      <c r="X41" s="108" t="s">
        <v>322</v>
      </c>
      <c r="Y41" s="108" t="s">
        <v>323</v>
      </c>
      <c r="AA41" s="108" t="s">
        <v>324</v>
      </c>
      <c r="AB41" s="108" t="s">
        <v>325</v>
      </c>
      <c r="AC41" s="108" t="s">
        <v>326</v>
      </c>
      <c r="AD41" s="108" t="s">
        <v>327</v>
      </c>
      <c r="AE41" s="108" t="s">
        <v>328</v>
      </c>
      <c r="AJ41" s="108">
        <f>LOOKUP(AJ37,(A5:A1209),(I5:I1209))</f>
        <v>22.3</v>
      </c>
      <c r="AM41" s="108"/>
      <c r="AN41" s="108"/>
      <c r="AO41" s="108"/>
      <c r="AP41" s="108"/>
      <c r="AQ41" s="108"/>
      <c r="AR41" s="108" t="s">
        <v>14</v>
      </c>
      <c r="AS41" s="108">
        <f ca="1">AS19</f>
        <v>52</v>
      </c>
      <c r="AT41" s="108">
        <f>AT40</f>
        <v>0</v>
      </c>
      <c r="AU41" s="108"/>
      <c r="AV41" s="108" t="str">
        <f t="shared" si="27"/>
        <v/>
      </c>
      <c r="AW41" s="108" t="str">
        <f>IF(AT41=0,"",AJ44)</f>
        <v/>
      </c>
      <c r="AX41" s="108"/>
      <c r="AY41" s="108"/>
      <c r="AZ41" s="108"/>
      <c r="BA41" s="108"/>
      <c r="BB41" s="108"/>
      <c r="BC41" s="108"/>
      <c r="BE41" s="108">
        <f>BE35+BE36+BE37+BE38+BG30</f>
        <v>0</v>
      </c>
      <c r="BI41" s="108">
        <f>BI35+BI36+BI37+BI38</f>
        <v>0</v>
      </c>
      <c r="BM41" s="109" t="s">
        <v>3946</v>
      </c>
      <c r="BN41" s="109">
        <f ca="1">DEGREES(ASIN(RADIANS(DEGREES(BN38))))</f>
        <v>0.45945359487488874</v>
      </c>
      <c r="BS41" s="108" t="s">
        <v>3947</v>
      </c>
      <c r="BT41" s="108">
        <f ca="1">BT38/BT40</f>
        <v>0.46391452124649984</v>
      </c>
      <c r="BX41" s="108" t="s">
        <v>3580</v>
      </c>
      <c r="CE41" s="108" t="s">
        <v>3584</v>
      </c>
      <c r="CF41" s="108">
        <v>30</v>
      </c>
      <c r="CG41" s="108">
        <v>5</v>
      </c>
      <c r="CL41" s="108" t="s">
        <v>3582</v>
      </c>
      <c r="CM41" s="108">
        <f>IF(CM37=CL38,30,CM36)</f>
        <v>23.908000000000001</v>
      </c>
      <c r="CO41" s="108">
        <v>2020</v>
      </c>
      <c r="CP41" s="108">
        <v>17.299701507404215</v>
      </c>
      <c r="DD41" s="109" t="s">
        <v>3665</v>
      </c>
      <c r="DI41" s="108">
        <f t="shared" ca="1" si="28"/>
        <v>45.591818024612962</v>
      </c>
      <c r="DK41" s="108">
        <f>DK38</f>
        <v>0</v>
      </c>
      <c r="DM41" s="108">
        <v>9</v>
      </c>
      <c r="DN41" s="108">
        <f ca="1">IF(DN40&lt;DM41,DN40,-1)</f>
        <v>8.7626643938957258</v>
      </c>
      <c r="DO41" s="108">
        <f ca="1">IF(DN41=-1,1,0)</f>
        <v>0</v>
      </c>
      <c r="DS41" s="108">
        <f ca="1">DS40*60</f>
        <v>45.591818024612962</v>
      </c>
      <c r="DY41" s="108">
        <v>9</v>
      </c>
      <c r="DZ41" s="108">
        <f>IF(DZ40&lt;DY41,DZ40,-1)</f>
        <v>3.0325399999999991</v>
      </c>
      <c r="EA41" s="108">
        <f>IF(DZ41=-1,1,0)</f>
        <v>0</v>
      </c>
      <c r="EE41" s="108">
        <f>EE40*60</f>
        <v>57.143999999996851</v>
      </c>
    </row>
    <row r="42" spans="1:135">
      <c r="A42" s="108">
        <v>35</v>
      </c>
      <c r="B42" s="108" t="str">
        <f t="shared" si="0"/>
        <v>α leo</v>
      </c>
      <c r="C42" s="108">
        <f t="shared" si="1"/>
        <v>0</v>
      </c>
      <c r="F42" s="108" t="s">
        <v>329</v>
      </c>
      <c r="G42" s="108">
        <v>9</v>
      </c>
      <c r="H42" s="108">
        <v>31</v>
      </c>
      <c r="I42" s="108">
        <v>31.7</v>
      </c>
      <c r="J42" s="108">
        <v>63</v>
      </c>
      <c r="K42" s="108">
        <v>3</v>
      </c>
      <c r="L42" s="108">
        <v>43</v>
      </c>
      <c r="M42" s="108" t="s">
        <v>330</v>
      </c>
      <c r="N42" s="108" t="s">
        <v>331</v>
      </c>
      <c r="X42" s="108" t="s">
        <v>332</v>
      </c>
      <c r="Y42" s="108" t="s">
        <v>323</v>
      </c>
      <c r="AA42" s="108" t="s">
        <v>333</v>
      </c>
      <c r="AB42" s="108" t="s">
        <v>334</v>
      </c>
      <c r="AC42" s="108" t="s">
        <v>335</v>
      </c>
      <c r="AD42" s="108" t="s">
        <v>336</v>
      </c>
      <c r="AE42" s="108" t="s">
        <v>337</v>
      </c>
      <c r="AI42" s="109" t="s">
        <v>338</v>
      </c>
      <c r="AM42" s="108"/>
      <c r="AN42" s="108"/>
      <c r="AO42" s="108"/>
      <c r="AP42" s="108"/>
      <c r="AQ42" s="108"/>
      <c r="AR42" s="108" t="s">
        <v>3462</v>
      </c>
      <c r="AS42" s="108">
        <f ca="1">AS20</f>
        <v>8.0658646964518255</v>
      </c>
      <c r="AT42" s="108">
        <f>AT41</f>
        <v>0</v>
      </c>
      <c r="AU42" s="108"/>
      <c r="AV42" s="108" t="str">
        <f t="shared" si="27"/>
        <v/>
      </c>
      <c r="AW42" s="108" t="str">
        <f>IF(AT42=0,"",AJ45)</f>
        <v/>
      </c>
      <c r="AX42" s="108"/>
      <c r="AY42" s="108"/>
      <c r="AZ42" s="108"/>
      <c r="BA42" s="108"/>
      <c r="BB42" s="108"/>
      <c r="BC42" s="108"/>
      <c r="BG42" s="108">
        <f>IF(BE41&gt;1,BG39,BG40)</f>
        <v>0</v>
      </c>
      <c r="BK42" s="108">
        <f>IF(BI41&gt;1,BK39,BK40)</f>
        <v>0</v>
      </c>
      <c r="BM42" s="108">
        <v>1403540</v>
      </c>
      <c r="BS42" s="108" t="s">
        <v>3763</v>
      </c>
      <c r="BT42" s="108">
        <f ca="1">IF(BT41&gt;0.999999999999,1,BT41)</f>
        <v>0.46391452124649984</v>
      </c>
      <c r="BX42" s="108" t="s">
        <v>3583</v>
      </c>
      <c r="CE42" s="108" t="s">
        <v>3587</v>
      </c>
      <c r="CF42" s="108">
        <v>31</v>
      </c>
      <c r="CG42" s="108">
        <v>6</v>
      </c>
      <c r="CL42" s="108" t="s">
        <v>3585</v>
      </c>
      <c r="CM42" s="108">
        <f>IF(CM41&lt;19,0,CM41)</f>
        <v>23.908000000000001</v>
      </c>
      <c r="CO42" s="108">
        <v>2021</v>
      </c>
      <c r="CP42" s="108">
        <v>17.250851473334997</v>
      </c>
      <c r="CX42" s="109" t="s">
        <v>3948</v>
      </c>
      <c r="DD42" s="108" t="s">
        <v>3885</v>
      </c>
      <c r="DE42" s="108">
        <f ca="1">COS(RADIANS(CF29))</f>
        <v>1</v>
      </c>
      <c r="DM42" s="108">
        <v>8</v>
      </c>
      <c r="DN42" s="108">
        <f t="shared" ref="DN42:DN49" ca="1" si="29">IF(DN41&lt;DM42,DN41,-1)</f>
        <v>-1</v>
      </c>
      <c r="DO42" s="108">
        <f t="shared" ref="DO42:DO49" ca="1" si="30">IF(DN42=-1,1,0)</f>
        <v>1</v>
      </c>
      <c r="DR42" s="108" t="s">
        <v>16</v>
      </c>
      <c r="DS42" s="108">
        <f ca="1">DO51</f>
        <v>8</v>
      </c>
      <c r="DY42" s="108">
        <v>8</v>
      </c>
      <c r="DZ42" s="108">
        <f t="shared" ref="DZ42:DZ49" si="31">IF(DZ41&lt;DY42,DZ41,-1)</f>
        <v>3.0325399999999991</v>
      </c>
      <c r="EA42" s="108">
        <f t="shared" ref="EA42:EA49" si="32">IF(DZ42=-1,1,0)</f>
        <v>0</v>
      </c>
      <c r="ED42" s="108" t="s">
        <v>16</v>
      </c>
      <c r="EE42" s="108">
        <f>EA51</f>
        <v>13</v>
      </c>
    </row>
    <row r="43" spans="1:135">
      <c r="A43" s="108">
        <v>36</v>
      </c>
      <c r="B43" s="108" t="str">
        <f t="shared" si="0"/>
        <v>α leo</v>
      </c>
      <c r="C43" s="108">
        <f t="shared" si="1"/>
        <v>0</v>
      </c>
      <c r="F43" s="108" t="s">
        <v>339</v>
      </c>
      <c r="G43" s="108">
        <v>11</v>
      </c>
      <c r="H43" s="108">
        <v>3</v>
      </c>
      <c r="I43" s="108">
        <v>43.7</v>
      </c>
      <c r="J43" s="108">
        <v>61</v>
      </c>
      <c r="K43" s="108">
        <v>45</v>
      </c>
      <c r="L43" s="108">
        <v>4</v>
      </c>
      <c r="M43" s="108" t="s">
        <v>340</v>
      </c>
      <c r="N43" s="108" t="s">
        <v>341</v>
      </c>
      <c r="R43" s="108" t="s">
        <v>342</v>
      </c>
      <c r="X43" s="108" t="s">
        <v>343</v>
      </c>
      <c r="Y43" s="108" t="s">
        <v>260</v>
      </c>
      <c r="AA43" s="108" t="s">
        <v>344</v>
      </c>
      <c r="AB43" s="108" t="s">
        <v>345</v>
      </c>
      <c r="AC43" s="108" t="s">
        <v>346</v>
      </c>
      <c r="AD43" s="108" t="s">
        <v>347</v>
      </c>
      <c r="AE43" s="108" t="s">
        <v>348</v>
      </c>
      <c r="AJ43" s="108">
        <f>LOOKUP(AJ37,(A5:A1209),(J5:J1209))</f>
        <v>11</v>
      </c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F43" s="108" t="str">
        <f>""</f>
        <v/>
      </c>
      <c r="BG43" s="108">
        <v>0</v>
      </c>
      <c r="BJ43" s="108" t="str">
        <f>""</f>
        <v/>
      </c>
      <c r="BK43" s="108">
        <v>0</v>
      </c>
      <c r="BM43" s="109" t="s">
        <v>3762</v>
      </c>
      <c r="BS43" s="108" t="s">
        <v>3764</v>
      </c>
      <c r="BT43" s="108">
        <f ca="1">IF(BT42&lt;-0.999999999999,-1,BT42)</f>
        <v>0.46391452124649984</v>
      </c>
      <c r="BX43" s="108" t="s">
        <v>3586</v>
      </c>
      <c r="CE43" s="108" t="s">
        <v>3590</v>
      </c>
      <c r="CF43" s="108">
        <v>31</v>
      </c>
      <c r="CG43" s="108">
        <v>7</v>
      </c>
      <c r="CL43" s="108" t="s">
        <v>3588</v>
      </c>
      <c r="CM43" s="108">
        <f>IF(CM42&gt;30,0,CM42)</f>
        <v>23.908000000000001</v>
      </c>
      <c r="CO43" s="108">
        <v>2022</v>
      </c>
      <c r="CP43" s="108">
        <v>17.267540844444277</v>
      </c>
      <c r="CW43" s="108" t="s">
        <v>1</v>
      </c>
      <c r="CX43" s="108">
        <f>IF(CT39=2,CM21,0)</f>
        <v>0</v>
      </c>
      <c r="CY43" s="108" t="s">
        <v>3548</v>
      </c>
      <c r="DD43" s="108" t="s">
        <v>3666</v>
      </c>
      <c r="DE43" s="108">
        <f>SIN(RADIANS(DE40))</f>
        <v>0.60181502315204827</v>
      </c>
      <c r="DM43" s="108">
        <v>7</v>
      </c>
      <c r="DN43" s="108">
        <f t="shared" ca="1" si="29"/>
        <v>-1</v>
      </c>
      <c r="DO43" s="108">
        <f t="shared" ca="1" si="30"/>
        <v>1</v>
      </c>
      <c r="DR43" s="108" t="s">
        <v>3811</v>
      </c>
      <c r="DS43" s="108">
        <f ca="1">DS39</f>
        <v>45</v>
      </c>
      <c r="DY43" s="108">
        <v>7</v>
      </c>
      <c r="DZ43" s="108">
        <f t="shared" si="31"/>
        <v>3.0325399999999991</v>
      </c>
      <c r="EA43" s="108">
        <f t="shared" si="32"/>
        <v>0</v>
      </c>
      <c r="ED43" s="108" t="s">
        <v>3811</v>
      </c>
      <c r="EE43" s="108">
        <f>EE39</f>
        <v>1</v>
      </c>
    </row>
    <row r="44" spans="1:135">
      <c r="A44" s="108">
        <v>37</v>
      </c>
      <c r="B44" s="108" t="str">
        <f t="shared" si="0"/>
        <v>α leo</v>
      </c>
      <c r="C44" s="108">
        <f t="shared" si="1"/>
        <v>0</v>
      </c>
      <c r="F44" s="108" t="s">
        <v>349</v>
      </c>
      <c r="G44" s="108">
        <v>11</v>
      </c>
      <c r="H44" s="108">
        <v>1</v>
      </c>
      <c r="I44" s="108">
        <v>50.5</v>
      </c>
      <c r="J44" s="108">
        <v>56</v>
      </c>
      <c r="K44" s="108">
        <v>22</v>
      </c>
      <c r="L44" s="108">
        <v>57</v>
      </c>
      <c r="M44" s="108" t="s">
        <v>350</v>
      </c>
      <c r="N44" s="108" t="s">
        <v>351</v>
      </c>
      <c r="X44" s="108" t="s">
        <v>262</v>
      </c>
      <c r="Y44" s="108" t="s">
        <v>260</v>
      </c>
      <c r="AA44" s="108" t="s">
        <v>352</v>
      </c>
      <c r="AB44" s="108" t="s">
        <v>85</v>
      </c>
      <c r="AC44" s="108" t="s">
        <v>353</v>
      </c>
      <c r="AD44" s="108" t="s">
        <v>354</v>
      </c>
      <c r="AE44" s="108" t="s">
        <v>355</v>
      </c>
      <c r="AJ44" s="108">
        <f>LOOKUP(AJ37,(A5:A1209),(K5:K1209))</f>
        <v>58</v>
      </c>
      <c r="AM44" s="108"/>
      <c r="AN44" s="108"/>
      <c r="AO44" s="108"/>
      <c r="AP44" s="108"/>
      <c r="AQ44" s="108"/>
      <c r="AR44" s="108"/>
      <c r="AS44" s="108"/>
      <c r="AT44" s="108"/>
      <c r="AU44" s="108"/>
      <c r="AV44" s="108"/>
      <c r="AW44" s="108"/>
      <c r="AX44" s="108"/>
      <c r="AY44" s="108"/>
      <c r="AZ44" s="108"/>
      <c r="BA44" s="108"/>
      <c r="BB44" s="108"/>
      <c r="BC44" s="108"/>
      <c r="BF44" s="108" t="s">
        <v>3473</v>
      </c>
      <c r="BG44" s="108">
        <v>1</v>
      </c>
      <c r="BJ44" s="108" t="s">
        <v>3473</v>
      </c>
      <c r="BK44" s="108">
        <v>1</v>
      </c>
      <c r="BM44" s="108" t="s">
        <v>3949</v>
      </c>
      <c r="BN44" s="108">
        <f ca="1">BN38</f>
        <v>8.0188920488964421E-3</v>
      </c>
      <c r="BP44" s="109"/>
      <c r="BS44" s="108" t="s">
        <v>3765</v>
      </c>
      <c r="BT44" s="109">
        <f ca="1">DEGREES(ASIN(RADIANS(DEGREES(BT43))))</f>
        <v>27.639994325739845</v>
      </c>
      <c r="BX44" s="108" t="s">
        <v>3589</v>
      </c>
      <c r="CE44" s="108" t="s">
        <v>3593</v>
      </c>
      <c r="CF44" s="108">
        <v>30</v>
      </c>
      <c r="CG44" s="108">
        <v>8</v>
      </c>
      <c r="CL44" s="108" t="s">
        <v>3591</v>
      </c>
      <c r="CM44" s="108" t="str">
        <f>IF(CM43=0,CL44,"")</f>
        <v/>
      </c>
      <c r="CO44" s="108">
        <v>2023</v>
      </c>
      <c r="CP44" s="108">
        <v>17.284230215553556</v>
      </c>
      <c r="CW44" s="108" t="s">
        <v>3503</v>
      </c>
      <c r="CX44" s="108" t="s">
        <v>3874</v>
      </c>
      <c r="CY44" s="108" t="s">
        <v>3550</v>
      </c>
      <c r="DD44" s="108" t="s">
        <v>3667</v>
      </c>
      <c r="DE44" s="108">
        <f>COS(RADIANS(DE40))</f>
        <v>0.79863551004729283</v>
      </c>
      <c r="DM44" s="108">
        <v>6</v>
      </c>
      <c r="DN44" s="108">
        <f t="shared" ca="1" si="29"/>
        <v>-1</v>
      </c>
      <c r="DO44" s="108">
        <f t="shared" ca="1" si="30"/>
        <v>1</v>
      </c>
      <c r="DR44" s="108" t="s">
        <v>3812</v>
      </c>
      <c r="DS44" s="108">
        <f ca="1">DS41</f>
        <v>45.591818024612962</v>
      </c>
      <c r="DY44" s="108">
        <v>6</v>
      </c>
      <c r="DZ44" s="108">
        <f t="shared" si="31"/>
        <v>3.0325399999999991</v>
      </c>
      <c r="EA44" s="108">
        <f t="shared" si="32"/>
        <v>0</v>
      </c>
      <c r="ED44" s="108" t="s">
        <v>3812</v>
      </c>
      <c r="EE44" s="108">
        <f>EE41</f>
        <v>57.143999999996851</v>
      </c>
    </row>
    <row r="45" spans="1:135">
      <c r="A45" s="108">
        <v>38</v>
      </c>
      <c r="B45" s="108" t="str">
        <f t="shared" si="0"/>
        <v>α leo</v>
      </c>
      <c r="C45" s="108">
        <f t="shared" si="1"/>
        <v>0</v>
      </c>
      <c r="F45" s="108" t="s">
        <v>356</v>
      </c>
      <c r="G45" s="108">
        <v>11</v>
      </c>
      <c r="H45" s="108">
        <v>53</v>
      </c>
      <c r="I45" s="108">
        <v>49.8</v>
      </c>
      <c r="J45" s="108">
        <v>53</v>
      </c>
      <c r="K45" s="108">
        <v>41</v>
      </c>
      <c r="L45" s="108">
        <v>41</v>
      </c>
      <c r="M45" s="108" t="s">
        <v>357</v>
      </c>
      <c r="N45" s="108" t="s">
        <v>358</v>
      </c>
      <c r="T45" s="109" t="s">
        <v>49</v>
      </c>
      <c r="U45" s="109" t="s">
        <v>11</v>
      </c>
      <c r="X45" s="108" t="s">
        <v>359</v>
      </c>
      <c r="Y45" s="108" t="s">
        <v>106</v>
      </c>
      <c r="AA45" s="108" t="s">
        <v>360</v>
      </c>
      <c r="AB45" s="108" t="s">
        <v>361</v>
      </c>
      <c r="AC45" s="108" t="s">
        <v>362</v>
      </c>
      <c r="AD45" s="108" t="s">
        <v>363</v>
      </c>
      <c r="AE45" s="108" t="s">
        <v>364</v>
      </c>
      <c r="AJ45" s="108">
        <f>LOOKUP(AJ37,(A5:A1209),(L5:L1209))</f>
        <v>2</v>
      </c>
      <c r="AM45" s="108"/>
      <c r="AN45" s="108"/>
      <c r="AO45" s="108"/>
      <c r="AP45" s="108"/>
      <c r="AQ45" s="108"/>
      <c r="AR45" s="108" t="s">
        <v>3702</v>
      </c>
      <c r="AS45" s="108">
        <f>DE135</f>
        <v>0</v>
      </c>
      <c r="AT45" s="108"/>
      <c r="AU45" s="108"/>
      <c r="AV45" s="108"/>
      <c r="AW45" s="108"/>
      <c r="AX45" s="108"/>
      <c r="AY45" s="108"/>
      <c r="AZ45" s="108"/>
      <c r="BA45" s="108"/>
      <c r="BB45" s="108"/>
      <c r="BC45" s="108"/>
      <c r="BF45" s="108" t="s">
        <v>3474</v>
      </c>
      <c r="BG45" s="108">
        <v>2</v>
      </c>
      <c r="BJ45" s="108" t="s">
        <v>3474</v>
      </c>
      <c r="BK45" s="108">
        <v>2</v>
      </c>
      <c r="BM45" s="108" t="s">
        <v>3950</v>
      </c>
      <c r="BN45" s="108">
        <f ca="1">SQRT(1-(BN44*BN44))</f>
        <v>0.99996784816828399</v>
      </c>
      <c r="BS45" s="108" t="s">
        <v>3951</v>
      </c>
      <c r="BT45" s="108">
        <f ca="1">BT44/15</f>
        <v>1.8426662883826563</v>
      </c>
      <c r="BX45" s="108" t="s">
        <v>3592</v>
      </c>
      <c r="CE45" s="108" t="s">
        <v>3595</v>
      </c>
      <c r="CF45" s="108">
        <v>31</v>
      </c>
      <c r="CG45" s="108">
        <v>9</v>
      </c>
      <c r="CL45" s="108" t="s">
        <v>3655</v>
      </c>
      <c r="CM45" s="108" t="str">
        <f>IF(CM43=0,CL45,"")</f>
        <v/>
      </c>
      <c r="CO45" s="108">
        <v>2024</v>
      </c>
      <c r="CP45" s="108">
        <v>17.300919586662836</v>
      </c>
      <c r="CW45" s="108">
        <v>0</v>
      </c>
      <c r="CX45" s="108">
        <v>0</v>
      </c>
      <c r="CY45" s="108">
        <v>0</v>
      </c>
      <c r="DD45" s="108" t="s">
        <v>3668</v>
      </c>
      <c r="DE45" s="108">
        <f ca="1">SIN(RADIANS(DE21))</f>
        <v>0.20567314563015096</v>
      </c>
      <c r="DM45" s="108">
        <v>5</v>
      </c>
      <c r="DN45" s="108">
        <f t="shared" ca="1" si="29"/>
        <v>-1</v>
      </c>
      <c r="DO45" s="108">
        <f t="shared" ca="1" si="30"/>
        <v>1</v>
      </c>
      <c r="DY45" s="108">
        <v>5</v>
      </c>
      <c r="DZ45" s="108">
        <f t="shared" si="31"/>
        <v>3.0325399999999991</v>
      </c>
      <c r="EA45" s="108">
        <f t="shared" si="32"/>
        <v>0</v>
      </c>
    </row>
    <row r="46" spans="1:135">
      <c r="A46" s="108">
        <v>39</v>
      </c>
      <c r="B46" s="108" t="str">
        <f t="shared" si="0"/>
        <v>α leo</v>
      </c>
      <c r="C46" s="108">
        <f t="shared" si="1"/>
        <v>0</v>
      </c>
      <c r="F46" s="108" t="s">
        <v>365</v>
      </c>
      <c r="G46" s="108">
        <v>12</v>
      </c>
      <c r="H46" s="108">
        <v>15</v>
      </c>
      <c r="I46" s="108">
        <v>25.6</v>
      </c>
      <c r="J46" s="108">
        <v>57</v>
      </c>
      <c r="K46" s="108">
        <v>1</v>
      </c>
      <c r="L46" s="108">
        <v>57</v>
      </c>
      <c r="M46" s="108" t="s">
        <v>366</v>
      </c>
      <c r="N46" s="108" t="s">
        <v>367</v>
      </c>
      <c r="S46" s="108" t="s">
        <v>1</v>
      </c>
      <c r="T46" s="108" t="str">
        <f>T25</f>
        <v>α</v>
      </c>
      <c r="U46" s="108" t="str">
        <f>T38</f>
        <v/>
      </c>
      <c r="X46" s="108" t="s">
        <v>368</v>
      </c>
      <c r="Y46" s="108" t="s">
        <v>106</v>
      </c>
      <c r="AA46" s="108" t="s">
        <v>369</v>
      </c>
      <c r="AB46" s="108" t="s">
        <v>370</v>
      </c>
      <c r="AC46" s="108" t="s">
        <v>371</v>
      </c>
      <c r="AD46" s="108" t="s">
        <v>372</v>
      </c>
      <c r="AE46" s="108" t="s">
        <v>373</v>
      </c>
      <c r="AI46" s="109" t="s">
        <v>374</v>
      </c>
      <c r="AM46" s="108"/>
      <c r="AN46" s="108"/>
      <c r="AO46" s="108"/>
      <c r="AP46" s="108"/>
      <c r="AQ46" s="108"/>
      <c r="AR46" s="108" t="s">
        <v>3456</v>
      </c>
      <c r="AS46" s="108" t="str">
        <f>IF(AS45=0,AJ21,"")</f>
        <v/>
      </c>
      <c r="AT46" s="108"/>
      <c r="AU46" s="108"/>
      <c r="AV46" s="108" t="s">
        <v>3716</v>
      </c>
      <c r="AW46" s="108"/>
      <c r="AX46" s="108"/>
      <c r="AY46" s="108"/>
      <c r="AZ46" s="108"/>
      <c r="BA46" s="108"/>
      <c r="BB46" s="108"/>
      <c r="BC46" s="108"/>
      <c r="BF46" s="108" t="s">
        <v>3475</v>
      </c>
      <c r="BG46" s="108">
        <v>3</v>
      </c>
      <c r="BJ46" s="108" t="s">
        <v>3476</v>
      </c>
      <c r="BK46" s="108">
        <v>3</v>
      </c>
      <c r="BM46" s="108" t="s">
        <v>3766</v>
      </c>
      <c r="BN46" s="108">
        <f>BN36*BN25</f>
        <v>0.50256608256932678</v>
      </c>
      <c r="BS46" s="108" t="s">
        <v>3646</v>
      </c>
      <c r="BX46" s="108" t="s">
        <v>3594</v>
      </c>
      <c r="CE46" s="108" t="s">
        <v>3597</v>
      </c>
      <c r="CF46" s="108">
        <f>CF23-1</f>
        <v>1</v>
      </c>
      <c r="CG46" s="108">
        <v>10</v>
      </c>
      <c r="CL46" s="108" t="s">
        <v>3655</v>
      </c>
      <c r="CM46" s="108" t="str">
        <f>IF(CM43=0,CL46,"")</f>
        <v/>
      </c>
      <c r="CO46" s="108">
        <v>2025</v>
      </c>
      <c r="CP46" s="108">
        <v>17.252069552593618</v>
      </c>
      <c r="CW46" s="108">
        <v>1</v>
      </c>
      <c r="CX46" s="108">
        <v>31</v>
      </c>
      <c r="CY46" s="108">
        <v>0</v>
      </c>
      <c r="DD46" s="108" t="s">
        <v>3669</v>
      </c>
      <c r="DE46" s="108">
        <f ca="1">COS(RADIANS(DE21))</f>
        <v>0.97862074225237972</v>
      </c>
      <c r="DM46" s="108">
        <v>4</v>
      </c>
      <c r="DN46" s="108">
        <f t="shared" ca="1" si="29"/>
        <v>-1</v>
      </c>
      <c r="DO46" s="108">
        <f t="shared" ca="1" si="30"/>
        <v>1</v>
      </c>
      <c r="DR46" s="108" t="s">
        <v>16</v>
      </c>
      <c r="DS46" s="108">
        <f ca="1">-1*DS42</f>
        <v>-8</v>
      </c>
      <c r="DY46" s="108">
        <v>4</v>
      </c>
      <c r="DZ46" s="108">
        <f t="shared" si="31"/>
        <v>3.0325399999999991</v>
      </c>
      <c r="EA46" s="108">
        <f t="shared" si="32"/>
        <v>0</v>
      </c>
      <c r="ED46" s="108" t="s">
        <v>16</v>
      </c>
      <c r="EE46" s="108">
        <f>-1*EE42</f>
        <v>-13</v>
      </c>
    </row>
    <row r="47" spans="1:135">
      <c r="A47" s="108">
        <v>40</v>
      </c>
      <c r="B47" s="108" t="str">
        <f t="shared" si="0"/>
        <v>α leo</v>
      </c>
      <c r="C47" s="108">
        <f t="shared" si="1"/>
        <v>0</v>
      </c>
      <c r="F47" s="108" t="s">
        <v>375</v>
      </c>
      <c r="G47" s="108">
        <v>12</v>
      </c>
      <c r="H47" s="108">
        <v>54</v>
      </c>
      <c r="I47" s="108">
        <v>1.7</v>
      </c>
      <c r="J47" s="108">
        <v>55</v>
      </c>
      <c r="K47" s="108">
        <v>57</v>
      </c>
      <c r="L47" s="108">
        <v>35</v>
      </c>
      <c r="M47" s="108" t="s">
        <v>376</v>
      </c>
      <c r="N47" s="108" t="s">
        <v>377</v>
      </c>
      <c r="R47" s="108" t="s">
        <v>140</v>
      </c>
      <c r="S47" s="108" t="s">
        <v>26</v>
      </c>
      <c r="T47" s="108" t="str">
        <f>IF(T46=R47,S47,T46)</f>
        <v>α</v>
      </c>
      <c r="U47" s="108" t="str">
        <f>IF(U46=R47,S47,U46)</f>
        <v/>
      </c>
      <c r="X47" s="108" t="s">
        <v>109</v>
      </c>
      <c r="Y47" s="108" t="s">
        <v>106</v>
      </c>
      <c r="AA47" s="108" t="s">
        <v>378</v>
      </c>
      <c r="AB47" s="108" t="s">
        <v>379</v>
      </c>
      <c r="AC47" s="108" t="s">
        <v>380</v>
      </c>
      <c r="AD47" s="108" t="s">
        <v>381</v>
      </c>
      <c r="AE47" s="108" t="s">
        <v>382</v>
      </c>
      <c r="AJ47" s="108" t="str">
        <f>B1213</f>
        <v/>
      </c>
      <c r="AM47" s="108"/>
      <c r="AN47" s="108"/>
      <c r="AO47" s="108"/>
      <c r="AP47" s="108"/>
      <c r="AQ47" s="108"/>
      <c r="AR47" s="108" t="s">
        <v>3458</v>
      </c>
      <c r="AS47" s="108" t="str">
        <f>IF(AS45=0,AJ25,"")</f>
        <v/>
      </c>
      <c r="AT47" s="108"/>
      <c r="AU47" s="108"/>
      <c r="AV47" s="108" t="s">
        <v>3443</v>
      </c>
      <c r="AW47" s="108"/>
      <c r="AX47" s="108"/>
      <c r="AY47" s="108"/>
      <c r="AZ47" s="108"/>
      <c r="BA47" s="108"/>
      <c r="BB47" s="108"/>
      <c r="BC47" s="108"/>
      <c r="BF47" s="108" t="s">
        <v>3477</v>
      </c>
      <c r="BG47" s="108">
        <v>4</v>
      </c>
      <c r="BJ47" s="108" t="s">
        <v>3478</v>
      </c>
      <c r="BK47" s="108">
        <v>4</v>
      </c>
      <c r="BM47" s="108" t="s">
        <v>3767</v>
      </c>
      <c r="BN47" s="108">
        <f ca="1">IF(BN44=1,0.000000000001,BN45)</f>
        <v>0.99996784816828399</v>
      </c>
      <c r="BS47" s="109" t="s">
        <v>3952</v>
      </c>
      <c r="BT47" s="108">
        <f ca="1">BT15</f>
        <v>150.10823494152939</v>
      </c>
      <c r="BX47" s="108" t="s">
        <v>3596</v>
      </c>
      <c r="CH47" s="108" t="e">
        <f>LOOKUP(CH38,(CG39:CG46),(CF38:CF45))</f>
        <v>#N/A</v>
      </c>
      <c r="CL47" s="108" t="s">
        <v>3598</v>
      </c>
      <c r="CM47" s="108" t="str">
        <f>IF(CM43=0,CL47,"")</f>
        <v/>
      </c>
      <c r="CO47" s="108">
        <v>2026</v>
      </c>
      <c r="CP47" s="108">
        <v>17.268758923702897</v>
      </c>
      <c r="CW47" s="108">
        <v>2</v>
      </c>
      <c r="CX47" s="108">
        <v>28</v>
      </c>
      <c r="CY47" s="108">
        <v>2.0313640556593873</v>
      </c>
      <c r="DD47" s="108" t="s">
        <v>3670</v>
      </c>
      <c r="DE47" s="108">
        <f ca="1">SIN(RADIANS(DE22))</f>
        <v>0.74964959789171925</v>
      </c>
      <c r="DM47" s="108">
        <v>3</v>
      </c>
      <c r="DN47" s="108">
        <f t="shared" ca="1" si="29"/>
        <v>-1</v>
      </c>
      <c r="DO47" s="108">
        <f t="shared" ca="1" si="30"/>
        <v>1</v>
      </c>
      <c r="DR47" s="108" t="s">
        <v>3811</v>
      </c>
      <c r="DS47" s="108">
        <f ca="1">-1*DS43</f>
        <v>-45</v>
      </c>
      <c r="DY47" s="108">
        <v>3</v>
      </c>
      <c r="DZ47" s="108">
        <f t="shared" si="31"/>
        <v>-1</v>
      </c>
      <c r="EA47" s="108">
        <f t="shared" si="32"/>
        <v>1</v>
      </c>
      <c r="ED47" s="108" t="s">
        <v>3811</v>
      </c>
      <c r="EE47" s="108">
        <f>-1*EE43</f>
        <v>-1</v>
      </c>
    </row>
    <row r="48" spans="1:135">
      <c r="A48" s="108">
        <v>41</v>
      </c>
      <c r="B48" s="108" t="str">
        <f t="shared" si="0"/>
        <v>α leo</v>
      </c>
      <c r="C48" s="108">
        <f t="shared" si="1"/>
        <v>0</v>
      </c>
      <c r="F48" s="108" t="s">
        <v>383</v>
      </c>
      <c r="G48" s="108">
        <v>13</v>
      </c>
      <c r="H48" s="108">
        <v>23</v>
      </c>
      <c r="I48" s="108">
        <v>55.5</v>
      </c>
      <c r="J48" s="108">
        <v>54</v>
      </c>
      <c r="K48" s="108">
        <v>55</v>
      </c>
      <c r="L48" s="108">
        <v>31</v>
      </c>
      <c r="M48" s="108" t="s">
        <v>384</v>
      </c>
      <c r="N48" s="108" t="s">
        <v>385</v>
      </c>
      <c r="R48" s="108" t="s">
        <v>386</v>
      </c>
      <c r="S48" s="108" t="s">
        <v>26</v>
      </c>
      <c r="T48" s="108" t="str">
        <f t="shared" ref="T48:T103" si="33">IF(T47=R48,S48,T47)</f>
        <v>α</v>
      </c>
      <c r="U48" s="108" t="str">
        <f t="shared" ref="U48:U103" si="34">IF(U47=R48,S48,U47)</f>
        <v/>
      </c>
      <c r="X48" s="108" t="s">
        <v>387</v>
      </c>
      <c r="Y48" s="108" t="s">
        <v>84</v>
      </c>
      <c r="AA48" s="108" t="s">
        <v>388</v>
      </c>
      <c r="AB48" s="108" t="s">
        <v>389</v>
      </c>
      <c r="AC48" s="108" t="s">
        <v>388</v>
      </c>
      <c r="AD48" s="108" t="s">
        <v>390</v>
      </c>
      <c r="AE48" s="108" t="s">
        <v>391</v>
      </c>
      <c r="AJ48" s="108" t="str">
        <f>LOOKUP(AJ37,(A5:A1209),(M5:M1209))</f>
        <v xml:space="preserve">α Λέοντος Βασιλίσκος. Διπλός </v>
      </c>
      <c r="AM48" s="108"/>
      <c r="AN48" s="108"/>
      <c r="AO48" s="108"/>
      <c r="AP48" s="108"/>
      <c r="AQ48" s="108"/>
      <c r="AR48" s="108" t="s">
        <v>3457</v>
      </c>
      <c r="AS48" s="108" t="str">
        <f>IF(AS45=0,AJ22,"")</f>
        <v/>
      </c>
      <c r="AT48" s="108"/>
      <c r="AU48" s="108"/>
      <c r="AV48" s="108" t="str">
        <f>IF(AV47=AJ53,0,AU76)</f>
        <v>α leo</v>
      </c>
      <c r="AW48" s="108"/>
      <c r="AX48" s="108"/>
      <c r="AY48" s="108"/>
      <c r="AZ48" s="108"/>
      <c r="BA48" s="108"/>
      <c r="BB48" s="108"/>
      <c r="BC48" s="108"/>
      <c r="BE48" s="108" t="s">
        <v>211</v>
      </c>
      <c r="BF48" s="108" t="s">
        <v>3493</v>
      </c>
      <c r="BG48" s="108">
        <v>5</v>
      </c>
      <c r="BI48" s="109" t="s">
        <v>211</v>
      </c>
      <c r="BJ48" s="108" t="s">
        <v>3493</v>
      </c>
      <c r="BK48" s="108">
        <v>5</v>
      </c>
      <c r="BM48" s="108" t="s">
        <v>3768</v>
      </c>
      <c r="BN48" s="108">
        <f ca="1">IF(BN44=-1,-0.000000000001,BN47)</f>
        <v>0.99996784816828399</v>
      </c>
      <c r="BS48" s="108" t="s">
        <v>3953</v>
      </c>
      <c r="BT48" s="108">
        <f ca="1">IF(BT47&gt;90,0,1)</f>
        <v>0</v>
      </c>
      <c r="BX48" s="108" t="s">
        <v>3599</v>
      </c>
      <c r="CL48" s="108" t="s">
        <v>3600</v>
      </c>
      <c r="CM48" s="108" t="str">
        <f>IF(CM43=0,CL48,"")</f>
        <v/>
      </c>
      <c r="CO48" s="110">
        <v>2027</v>
      </c>
      <c r="CP48" s="108">
        <v>17.285448294812177</v>
      </c>
      <c r="CW48" s="108">
        <v>3</v>
      </c>
      <c r="CX48" s="108">
        <v>31</v>
      </c>
      <c r="CY48" s="108">
        <v>3.8661545838925386</v>
      </c>
      <c r="DD48" s="108" t="s">
        <v>3671</v>
      </c>
      <c r="DE48" s="108">
        <f ca="1">COS(RADIANS(DE22))</f>
        <v>-0.66183493439133567</v>
      </c>
      <c r="DM48" s="108">
        <v>2</v>
      </c>
      <c r="DN48" s="108">
        <f t="shared" ca="1" si="29"/>
        <v>-1</v>
      </c>
      <c r="DO48" s="108">
        <f t="shared" ca="1" si="30"/>
        <v>1</v>
      </c>
      <c r="DR48" s="108" t="s">
        <v>3812</v>
      </c>
      <c r="DS48" s="108">
        <f ca="1">-1*DS44</f>
        <v>-45.591818024612962</v>
      </c>
      <c r="DY48" s="108">
        <v>2</v>
      </c>
      <c r="DZ48" s="108">
        <f t="shared" si="31"/>
        <v>-1</v>
      </c>
      <c r="EA48" s="108">
        <f t="shared" si="32"/>
        <v>1</v>
      </c>
      <c r="ED48" s="108" t="s">
        <v>3812</v>
      </c>
      <c r="EE48" s="108">
        <f>-1*EE44</f>
        <v>-57.143999999996851</v>
      </c>
    </row>
    <row r="49" spans="1:135">
      <c r="A49" s="108">
        <v>42</v>
      </c>
      <c r="B49" s="108" t="str">
        <f t="shared" si="0"/>
        <v>α leo</v>
      </c>
      <c r="C49" s="108">
        <f t="shared" si="1"/>
        <v>0</v>
      </c>
      <c r="F49" s="108" t="s">
        <v>392</v>
      </c>
      <c r="G49" s="108">
        <v>13</v>
      </c>
      <c r="H49" s="108">
        <v>47</v>
      </c>
      <c r="I49" s="108">
        <v>32.4</v>
      </c>
      <c r="J49" s="108">
        <v>49</v>
      </c>
      <c r="K49" s="108">
        <v>18</v>
      </c>
      <c r="L49" s="108">
        <v>48</v>
      </c>
      <c r="M49" s="108" t="s">
        <v>393</v>
      </c>
      <c r="N49" s="108" t="s">
        <v>394</v>
      </c>
      <c r="R49" s="108" t="s">
        <v>395</v>
      </c>
      <c r="S49" s="108" t="s">
        <v>26</v>
      </c>
      <c r="T49" s="108" t="str">
        <f t="shared" si="33"/>
        <v>α</v>
      </c>
      <c r="U49" s="108" t="str">
        <f t="shared" si="34"/>
        <v/>
      </c>
      <c r="X49" s="108" t="s">
        <v>86</v>
      </c>
      <c r="Y49" s="108" t="s">
        <v>84</v>
      </c>
      <c r="AA49" s="108" t="s">
        <v>396</v>
      </c>
      <c r="AB49" s="108" t="s">
        <v>397</v>
      </c>
      <c r="AC49" s="108" t="s">
        <v>398</v>
      </c>
      <c r="AD49" s="108" t="s">
        <v>399</v>
      </c>
      <c r="AE49" s="108" t="s">
        <v>400</v>
      </c>
      <c r="AM49" s="108"/>
      <c r="AN49" s="108"/>
      <c r="AO49" s="108"/>
      <c r="AP49" s="108"/>
      <c r="AQ49" s="108"/>
      <c r="AR49" s="108" t="s">
        <v>200</v>
      </c>
      <c r="AS49" s="108" t="str">
        <f>IF(AS45=0,AJ26,"")</f>
        <v/>
      </c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E49" s="108" t="str">
        <f>IF(BE41=0,"",BF49)</f>
        <v/>
      </c>
      <c r="BF49" s="108" t="s">
        <v>3491</v>
      </c>
      <c r="BI49" s="108" t="str">
        <f>IF(BI41=0,"",BJ49)</f>
        <v/>
      </c>
      <c r="BJ49" s="108" t="s">
        <v>3492</v>
      </c>
      <c r="BM49" s="108" t="s">
        <v>3954</v>
      </c>
      <c r="BN49" s="108">
        <f ca="1">BN46/BN48</f>
        <v>0.50258224150897923</v>
      </c>
      <c r="BS49" s="108" t="s">
        <v>3769</v>
      </c>
      <c r="BT49" s="108">
        <f ca="1">IF(BT47&gt;90,BT47,1000)</f>
        <v>150.10823494152939</v>
      </c>
      <c r="BX49" s="108" t="s">
        <v>3955</v>
      </c>
      <c r="BY49" s="108">
        <v>365.25635760720166</v>
      </c>
      <c r="CE49" s="109" t="s">
        <v>3505</v>
      </c>
      <c r="CL49" s="108" t="s">
        <v>3569</v>
      </c>
      <c r="CM49" s="108">
        <f>IF(CM43=0,1,0)</f>
        <v>0</v>
      </c>
      <c r="CO49" s="108">
        <v>2028</v>
      </c>
      <c r="CP49" s="108">
        <v>17.302137665921457</v>
      </c>
      <c r="CW49" s="108">
        <v>4</v>
      </c>
      <c r="CX49" s="108">
        <v>30</v>
      </c>
      <c r="CY49" s="108">
        <v>5.8975298115792416</v>
      </c>
      <c r="DM49" s="108">
        <v>1</v>
      </c>
      <c r="DN49" s="108">
        <f t="shared" ca="1" si="29"/>
        <v>-1</v>
      </c>
      <c r="DO49" s="108">
        <f t="shared" ca="1" si="30"/>
        <v>1</v>
      </c>
      <c r="DY49" s="108">
        <v>1</v>
      </c>
      <c r="DZ49" s="108">
        <f t="shared" si="31"/>
        <v>-1</v>
      </c>
      <c r="EA49" s="108">
        <f t="shared" si="32"/>
        <v>1</v>
      </c>
    </row>
    <row r="50" spans="1:135">
      <c r="A50" s="108">
        <v>43</v>
      </c>
      <c r="B50" s="108" t="str">
        <f t="shared" si="0"/>
        <v>α leo</v>
      </c>
      <c r="C50" s="108">
        <f t="shared" si="1"/>
        <v>0</v>
      </c>
      <c r="F50" s="108" t="s">
        <v>401</v>
      </c>
      <c r="G50" s="108">
        <v>9</v>
      </c>
      <c r="H50" s="108">
        <v>32</v>
      </c>
      <c r="I50" s="108">
        <v>51.4</v>
      </c>
      <c r="J50" s="108">
        <v>51</v>
      </c>
      <c r="K50" s="108">
        <v>40</v>
      </c>
      <c r="L50" s="108">
        <v>38</v>
      </c>
      <c r="M50" s="108" t="s">
        <v>402</v>
      </c>
      <c r="N50" s="108" t="s">
        <v>403</v>
      </c>
      <c r="R50" s="108" t="s">
        <v>404</v>
      </c>
      <c r="S50" s="108" t="s">
        <v>405</v>
      </c>
      <c r="T50" s="108" t="str">
        <f t="shared" si="33"/>
        <v>α</v>
      </c>
      <c r="U50" s="108" t="str">
        <f t="shared" si="34"/>
        <v/>
      </c>
      <c r="X50" s="108" t="s">
        <v>406</v>
      </c>
      <c r="Y50" s="108" t="s">
        <v>352</v>
      </c>
      <c r="AA50" s="108" t="s">
        <v>407</v>
      </c>
      <c r="AB50" s="108" t="s">
        <v>408</v>
      </c>
      <c r="AC50" s="108" t="s">
        <v>409</v>
      </c>
      <c r="AD50" s="108" t="s">
        <v>410</v>
      </c>
      <c r="AE50" s="108" t="s">
        <v>411</v>
      </c>
      <c r="AJ50" s="108" t="str">
        <f>B1214</f>
        <v/>
      </c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E50" s="108" t="str">
        <f>LOOKUP(BG42,(BG43:BG48),(BF43:BF48))</f>
        <v/>
      </c>
      <c r="BI50" s="108" t="str">
        <f>LOOKUP(BK42,(BK43:BK48),(BJ43:BJ48))</f>
        <v/>
      </c>
      <c r="BM50" s="108" t="s">
        <v>3763</v>
      </c>
      <c r="BN50" s="108">
        <f ca="1">IF(BN49&gt;0.999999999999,1,BN49)</f>
        <v>0.50258224150897923</v>
      </c>
      <c r="BS50" s="108" t="s">
        <v>3770</v>
      </c>
      <c r="BT50" s="108">
        <f ca="1">IF(BT49&gt;180,0,2)</f>
        <v>2</v>
      </c>
      <c r="BX50" s="108" t="s">
        <v>3956</v>
      </c>
      <c r="BY50" s="108">
        <v>366.25635760720166</v>
      </c>
      <c r="CE50" s="108" t="s">
        <v>3602</v>
      </c>
      <c r="CF50" s="108">
        <f>CF25-1</f>
        <v>9</v>
      </c>
      <c r="CL50" s="108" t="s">
        <v>3703</v>
      </c>
      <c r="CM50" s="108">
        <f>CM49+CM39</f>
        <v>0</v>
      </c>
      <c r="CO50" s="108">
        <v>2029</v>
      </c>
      <c r="CP50" s="108">
        <v>17.253287631852238</v>
      </c>
      <c r="CW50" s="108">
        <v>5</v>
      </c>
      <c r="CX50" s="108">
        <v>31</v>
      </c>
      <c r="CY50" s="108">
        <v>7.8633768061147613</v>
      </c>
      <c r="DD50" s="109" t="s">
        <v>3957</v>
      </c>
      <c r="DE50" s="108">
        <v>2865132</v>
      </c>
      <c r="DO50" s="108">
        <f ca="1">SUM(DO41:DO49)</f>
        <v>8</v>
      </c>
      <c r="EA50" s="108">
        <f>SUM(EA41:EA49)</f>
        <v>3</v>
      </c>
    </row>
    <row r="51" spans="1:135">
      <c r="A51" s="108">
        <v>44</v>
      </c>
      <c r="B51" s="108" t="str">
        <f t="shared" si="0"/>
        <v>α leo</v>
      </c>
      <c r="C51" s="108">
        <f t="shared" si="1"/>
        <v>0</v>
      </c>
      <c r="F51" s="108" t="s">
        <v>412</v>
      </c>
      <c r="G51" s="108">
        <v>8</v>
      </c>
      <c r="H51" s="108">
        <v>59</v>
      </c>
      <c r="I51" s="108">
        <v>12.5</v>
      </c>
      <c r="J51" s="108">
        <v>48</v>
      </c>
      <c r="K51" s="108">
        <v>2</v>
      </c>
      <c r="L51" s="108">
        <v>31</v>
      </c>
      <c r="M51" s="108" t="s">
        <v>413</v>
      </c>
      <c r="N51" s="108" t="s">
        <v>414</v>
      </c>
      <c r="R51" s="108" t="s">
        <v>415</v>
      </c>
      <c r="S51" s="108" t="s">
        <v>405</v>
      </c>
      <c r="T51" s="108" t="str">
        <f t="shared" si="33"/>
        <v>α</v>
      </c>
      <c r="U51" s="108" t="str">
        <f t="shared" si="34"/>
        <v/>
      </c>
      <c r="X51" s="108" t="s">
        <v>354</v>
      </c>
      <c r="Y51" s="108" t="s">
        <v>352</v>
      </c>
      <c r="AA51" s="108" t="s">
        <v>416</v>
      </c>
      <c r="AB51" s="108" t="s">
        <v>196</v>
      </c>
      <c r="AC51" s="108" t="s">
        <v>417</v>
      </c>
      <c r="AD51" s="108" t="s">
        <v>418</v>
      </c>
      <c r="AE51" s="108" t="s">
        <v>419</v>
      </c>
      <c r="AJ51" s="108" t="str">
        <f>LOOKUP(AJ37,(A5:A1209),(N5:N1209))</f>
        <v xml:space="preserve">α Leo. Διπλός Regulus </v>
      </c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8"/>
      <c r="AZ51" s="108"/>
      <c r="BA51" s="108"/>
      <c r="BB51" s="108"/>
      <c r="BC51" s="108"/>
      <c r="BM51" s="108" t="s">
        <v>3764</v>
      </c>
      <c r="BN51" s="108">
        <f ca="1">IF(BN50&lt;-0.999999999999,-1,BN50)</f>
        <v>0.50258224150897923</v>
      </c>
      <c r="BS51" s="108" t="s">
        <v>3771</v>
      </c>
      <c r="BT51" s="108">
        <f ca="1">IF(BT47&gt;180,BT47,1000)</f>
        <v>1000</v>
      </c>
      <c r="BX51" s="109" t="s">
        <v>3601</v>
      </c>
      <c r="CE51" s="108" t="s">
        <v>3604</v>
      </c>
      <c r="CF51" s="108">
        <f>IF(CF50=-1,23,CF50)</f>
        <v>9</v>
      </c>
      <c r="CO51" s="108">
        <v>2030</v>
      </c>
      <c r="CP51" s="108">
        <v>17.269977002961518</v>
      </c>
      <c r="CW51" s="108">
        <v>6</v>
      </c>
      <c r="CX51" s="108">
        <v>30</v>
      </c>
      <c r="CY51" s="108">
        <v>9.8947520338014634</v>
      </c>
      <c r="DD51" s="108" t="s">
        <v>3886</v>
      </c>
      <c r="DE51" s="108">
        <f ca="1">DE43/DE42</f>
        <v>0.60181502315204827</v>
      </c>
      <c r="DN51" s="108" t="s">
        <v>3813</v>
      </c>
      <c r="DO51" s="108">
        <f ca="1">DO50+DO38+DO26</f>
        <v>8</v>
      </c>
      <c r="DQ51" s="108" t="s">
        <v>16</v>
      </c>
      <c r="DR51" s="108">
        <f ca="1">IF(DS51=1,DS42,DS46)</f>
        <v>8</v>
      </c>
      <c r="DS51" s="108">
        <f ca="1">DK20</f>
        <v>1</v>
      </c>
      <c r="DZ51" s="108" t="s">
        <v>3813</v>
      </c>
      <c r="EA51" s="108">
        <f>EA50+EA38+EA26</f>
        <v>13</v>
      </c>
      <c r="EC51" s="108" t="s">
        <v>16</v>
      </c>
      <c r="ED51" s="108">
        <f>IF(EE51=1,EE42,EE46)</f>
        <v>13</v>
      </c>
      <c r="EE51" s="108">
        <f>DW20</f>
        <v>1</v>
      </c>
    </row>
    <row r="52" spans="1:135" ht="17.25">
      <c r="A52" s="108">
        <v>45</v>
      </c>
      <c r="B52" s="108" t="str">
        <f t="shared" si="0"/>
        <v>α leo</v>
      </c>
      <c r="C52" s="108">
        <f t="shared" si="1"/>
        <v>0</v>
      </c>
      <c r="F52" s="108" t="s">
        <v>420</v>
      </c>
      <c r="G52" s="108">
        <v>9</v>
      </c>
      <c r="H52" s="108">
        <v>3</v>
      </c>
      <c r="I52" s="108">
        <v>37.5</v>
      </c>
      <c r="J52" s="108">
        <v>47</v>
      </c>
      <c r="K52" s="108">
        <v>9</v>
      </c>
      <c r="L52" s="108">
        <v>23</v>
      </c>
      <c r="M52" s="108" t="s">
        <v>421</v>
      </c>
      <c r="N52" s="108" t="s">
        <v>422</v>
      </c>
      <c r="R52" s="108" t="s">
        <v>423</v>
      </c>
      <c r="S52" s="108" t="s">
        <v>424</v>
      </c>
      <c r="T52" s="108" t="str">
        <f t="shared" si="33"/>
        <v>α</v>
      </c>
      <c r="U52" s="108" t="str">
        <f t="shared" si="34"/>
        <v/>
      </c>
      <c r="X52" s="108" t="s">
        <v>425</v>
      </c>
      <c r="Y52" s="108" t="s">
        <v>426</v>
      </c>
      <c r="AA52" s="108" t="s">
        <v>427</v>
      </c>
      <c r="AB52" s="108" t="s">
        <v>196</v>
      </c>
      <c r="AC52" s="108" t="s">
        <v>428</v>
      </c>
      <c r="AD52" s="108" t="s">
        <v>429</v>
      </c>
      <c r="AE52" s="108" t="s">
        <v>430</v>
      </c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E52" s="109" t="s">
        <v>3484</v>
      </c>
      <c r="BM52" s="109" t="s">
        <v>3958</v>
      </c>
      <c r="BN52" s="109">
        <f ca="1">DEGREES(ASIN(RADIANS(DEGREES(BN51))))</f>
        <v>30.170987280692842</v>
      </c>
      <c r="BS52" s="108" t="s">
        <v>3772</v>
      </c>
      <c r="BT52" s="108">
        <f ca="1">IF(BT51&gt;270,0,3)</f>
        <v>0</v>
      </c>
      <c r="BX52" s="108" t="s">
        <v>3603</v>
      </c>
      <c r="CE52" s="109" t="s">
        <v>3532</v>
      </c>
      <c r="CL52" s="109" t="s">
        <v>3959</v>
      </c>
      <c r="CO52" s="108">
        <v>2031</v>
      </c>
      <c r="CP52" s="108">
        <v>17.286666374070798</v>
      </c>
      <c r="CW52" s="108">
        <v>7</v>
      </c>
      <c r="CX52" s="108">
        <v>31</v>
      </c>
      <c r="CY52" s="108">
        <v>11.860599028336983</v>
      </c>
      <c r="DD52" s="108" t="s">
        <v>3887</v>
      </c>
      <c r="DE52" s="108">
        <f ca="1">IF(DE51=DE43,0,DE51)</f>
        <v>0</v>
      </c>
      <c r="DM52" s="108" t="s">
        <v>3810</v>
      </c>
      <c r="DO52" s="108">
        <f ca="1">DK21-DO51</f>
        <v>0.76266439389572582</v>
      </c>
      <c r="DQ52" s="108" t="s">
        <v>3811</v>
      </c>
      <c r="DR52" s="108">
        <f ca="1">IF(DS52=1,DS43,DS47)</f>
        <v>45</v>
      </c>
      <c r="DS52" s="108">
        <f ca="1">DS51</f>
        <v>1</v>
      </c>
      <c r="DY52" s="108" t="s">
        <v>3810</v>
      </c>
      <c r="EA52" s="108">
        <f>DW21-EA51</f>
        <v>3.2539999999999125E-2</v>
      </c>
      <c r="EC52" s="108" t="s">
        <v>3811</v>
      </c>
      <c r="ED52" s="108">
        <f>IF(EE52=1,EE43,EE47)</f>
        <v>1</v>
      </c>
      <c r="EE52" s="108">
        <f>EE51</f>
        <v>1</v>
      </c>
    </row>
    <row r="53" spans="1:135" ht="15.75">
      <c r="A53" s="108">
        <v>46</v>
      </c>
      <c r="B53" s="108" t="str">
        <f t="shared" si="0"/>
        <v>α leo</v>
      </c>
      <c r="C53" s="108">
        <f t="shared" si="1"/>
        <v>0</v>
      </c>
      <c r="F53" s="108" t="s">
        <v>431</v>
      </c>
      <c r="G53" s="108">
        <v>10</v>
      </c>
      <c r="H53" s="108">
        <v>17</v>
      </c>
      <c r="I53" s="108">
        <v>5.8</v>
      </c>
      <c r="J53" s="108">
        <v>42</v>
      </c>
      <c r="K53" s="108">
        <v>54</v>
      </c>
      <c r="L53" s="108">
        <v>52</v>
      </c>
      <c r="M53" s="108" t="s">
        <v>432</v>
      </c>
      <c r="N53" s="108" t="s">
        <v>433</v>
      </c>
      <c r="R53" s="108" t="s">
        <v>434</v>
      </c>
      <c r="S53" s="108" t="s">
        <v>424</v>
      </c>
      <c r="T53" s="108" t="str">
        <f t="shared" si="33"/>
        <v>α</v>
      </c>
      <c r="U53" s="108" t="str">
        <f t="shared" si="34"/>
        <v/>
      </c>
      <c r="X53" s="108" t="s">
        <v>435</v>
      </c>
      <c r="Y53" s="108" t="s">
        <v>426</v>
      </c>
      <c r="AA53" s="108" t="s">
        <v>436</v>
      </c>
      <c r="AB53" s="108" t="s">
        <v>437</v>
      </c>
      <c r="AC53" s="108" t="s">
        <v>438</v>
      </c>
      <c r="AD53" s="108" t="s">
        <v>439</v>
      </c>
      <c r="AE53" s="108" t="s">
        <v>440</v>
      </c>
      <c r="AI53" s="109" t="s">
        <v>441</v>
      </c>
      <c r="AJ53" s="108" t="str">
        <f>IF(AJ48=0,AJ47,AJ48)</f>
        <v xml:space="preserve">α Λέοντος Βασιλίσκος. Διπλός </v>
      </c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E53" s="108">
        <f>BE41+BI41</f>
        <v>0</v>
      </c>
      <c r="BS53" s="108" t="s">
        <v>3773</v>
      </c>
      <c r="BT53" s="108">
        <f ca="1">IF(BT47&gt;270,4,0)</f>
        <v>0</v>
      </c>
      <c r="BX53" s="108" t="s">
        <v>3606</v>
      </c>
      <c r="CE53" s="108" t="s">
        <v>3609</v>
      </c>
      <c r="CF53" s="108">
        <f>IF(CF50=-1,-1,0)</f>
        <v>0</v>
      </c>
      <c r="CL53" s="108" t="s">
        <v>3605</v>
      </c>
      <c r="CM53" s="108">
        <f>30-CM43</f>
        <v>6.0919999999999987</v>
      </c>
      <c r="CO53" s="108">
        <v>2032</v>
      </c>
      <c r="CP53" s="108">
        <v>17.303355745180077</v>
      </c>
      <c r="CW53" s="108">
        <v>8</v>
      </c>
      <c r="CX53" s="108">
        <v>31</v>
      </c>
      <c r="CY53" s="108">
        <v>13.891974256023687</v>
      </c>
      <c r="DD53" s="114" t="s">
        <v>3672</v>
      </c>
      <c r="DE53" s="108">
        <f ca="1">DE45*DE44</f>
        <v>0.16425787756336674</v>
      </c>
      <c r="DO53" s="108">
        <f ca="1">DO52*60</f>
        <v>45.759863633743549</v>
      </c>
      <c r="DQ53" s="108" t="s">
        <v>3812</v>
      </c>
      <c r="DR53" s="108">
        <f ca="1">IF(DS53=1,DS44,DS48)</f>
        <v>45.591818024612962</v>
      </c>
      <c r="DS53" s="108">
        <f ca="1">DS51</f>
        <v>1</v>
      </c>
      <c r="EA53" s="108">
        <f>EA52*60</f>
        <v>1.9523999999999475</v>
      </c>
      <c r="EC53" s="108" t="s">
        <v>3812</v>
      </c>
      <c r="ED53" s="108">
        <f>IF(EE53=1,EE44,EE48)</f>
        <v>57.143999999996851</v>
      </c>
      <c r="EE53" s="108">
        <f>EE51</f>
        <v>1</v>
      </c>
    </row>
    <row r="54" spans="1:135" ht="15.75">
      <c r="A54" s="108">
        <v>47</v>
      </c>
      <c r="B54" s="108" t="str">
        <f t="shared" si="0"/>
        <v>α leo</v>
      </c>
      <c r="C54" s="108">
        <f t="shared" si="1"/>
        <v>0</v>
      </c>
      <c r="F54" s="108" t="s">
        <v>442</v>
      </c>
      <c r="G54" s="108">
        <v>10</v>
      </c>
      <c r="H54" s="108">
        <v>22</v>
      </c>
      <c r="I54" s="108">
        <v>19.7</v>
      </c>
      <c r="J54" s="108">
        <v>41</v>
      </c>
      <c r="K54" s="108">
        <v>29</v>
      </c>
      <c r="L54" s="108">
        <v>58</v>
      </c>
      <c r="M54" s="108" t="s">
        <v>443</v>
      </c>
      <c r="N54" s="108" t="s">
        <v>444</v>
      </c>
      <c r="R54" s="108" t="s">
        <v>445</v>
      </c>
      <c r="S54" s="108" t="s">
        <v>424</v>
      </c>
      <c r="T54" s="108" t="str">
        <f t="shared" si="33"/>
        <v>α</v>
      </c>
      <c r="U54" s="108" t="str">
        <f t="shared" si="34"/>
        <v/>
      </c>
      <c r="X54" s="108" t="s">
        <v>446</v>
      </c>
      <c r="Y54" s="108" t="s">
        <v>447</v>
      </c>
      <c r="AA54" s="108" t="s">
        <v>448</v>
      </c>
      <c r="AB54" s="108" t="s">
        <v>297</v>
      </c>
      <c r="AC54" s="108" t="s">
        <v>449</v>
      </c>
      <c r="AD54" s="108" t="s">
        <v>450</v>
      </c>
      <c r="AE54" s="108" t="s">
        <v>451</v>
      </c>
      <c r="AJ54" s="108" t="str">
        <f>IF(AJ51=0,AJ50,AJ51)</f>
        <v xml:space="preserve">α Leo. Διπλός Regulus </v>
      </c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S54" s="108" t="s">
        <v>3774</v>
      </c>
      <c r="BT54" s="109">
        <f ca="1">BT48+BT50+BT52+BT53</f>
        <v>2</v>
      </c>
      <c r="BX54" s="108" t="s">
        <v>3608</v>
      </c>
      <c r="CE54" s="108" t="s">
        <v>3611</v>
      </c>
      <c r="CF54" s="108">
        <f>CF53+CF24</f>
        <v>2</v>
      </c>
      <c r="CL54" s="108" t="s">
        <v>3607</v>
      </c>
      <c r="CM54" s="108">
        <f>CM53/15</f>
        <v>0.40613333333333324</v>
      </c>
      <c r="CO54" s="108">
        <v>2033</v>
      </c>
      <c r="CP54" s="108">
        <v>17.254505711110859</v>
      </c>
      <c r="CW54" s="108">
        <v>9</v>
      </c>
      <c r="CX54" s="108">
        <v>30</v>
      </c>
      <c r="CY54" s="108">
        <v>15.923349483710389</v>
      </c>
      <c r="DD54" s="114" t="s">
        <v>3673</v>
      </c>
      <c r="DE54" s="108">
        <f ca="1">DE43*DE48</f>
        <v>-0.39830220636355601</v>
      </c>
      <c r="DH54" s="109"/>
      <c r="DI54" s="108" t="s">
        <v>301</v>
      </c>
      <c r="DJ54" s="109"/>
      <c r="DT54" s="109"/>
      <c r="DU54" s="108" t="s">
        <v>3450</v>
      </c>
      <c r="DV54" s="109"/>
    </row>
    <row r="55" spans="1:135" ht="15.75">
      <c r="A55" s="108">
        <v>48</v>
      </c>
      <c r="B55" s="108" t="str">
        <f t="shared" si="0"/>
        <v>α leo</v>
      </c>
      <c r="C55" s="108">
        <f t="shared" si="1"/>
        <v>0</v>
      </c>
      <c r="F55" s="108" t="s">
        <v>452</v>
      </c>
      <c r="G55" s="108">
        <v>11</v>
      </c>
      <c r="H55" s="108">
        <v>18</v>
      </c>
      <c r="I55" s="108">
        <v>28.7</v>
      </c>
      <c r="J55" s="108">
        <v>33</v>
      </c>
      <c r="K55" s="108">
        <v>5</v>
      </c>
      <c r="L55" s="108">
        <v>39</v>
      </c>
      <c r="M55" s="108" t="s">
        <v>453</v>
      </c>
      <c r="N55" s="108" t="s">
        <v>454</v>
      </c>
      <c r="R55" s="108" t="s">
        <v>455</v>
      </c>
      <c r="S55" s="108" t="s">
        <v>456</v>
      </c>
      <c r="T55" s="108" t="str">
        <f t="shared" si="33"/>
        <v>α</v>
      </c>
      <c r="U55" s="108" t="str">
        <f t="shared" si="34"/>
        <v/>
      </c>
      <c r="X55" s="108" t="s">
        <v>457</v>
      </c>
      <c r="Y55" s="108" t="s">
        <v>447</v>
      </c>
      <c r="AA55" s="108" t="s">
        <v>458</v>
      </c>
      <c r="AB55" s="108" t="s">
        <v>162</v>
      </c>
      <c r="AC55" s="108" t="s">
        <v>459</v>
      </c>
      <c r="AD55" s="108" t="s">
        <v>460</v>
      </c>
      <c r="AE55" s="108" t="s">
        <v>461</v>
      </c>
      <c r="AI55" s="109" t="s">
        <v>4009</v>
      </c>
      <c r="AJ55" s="108">
        <f>C1209</f>
        <v>1006</v>
      </c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8"/>
      <c r="AY55" s="108"/>
      <c r="AZ55" s="108"/>
      <c r="BA55" s="108"/>
      <c r="BB55" s="108"/>
      <c r="BC55" s="108"/>
      <c r="BM55" s="109" t="s">
        <v>3960</v>
      </c>
      <c r="BN55" s="108">
        <f>BN13</f>
        <v>10.139527777777777</v>
      </c>
      <c r="BX55" s="108" t="s">
        <v>3610</v>
      </c>
      <c r="CE55" s="108" t="s">
        <v>3614</v>
      </c>
      <c r="CF55" s="108">
        <f>IF(CF50=-1,1,0)</f>
        <v>0</v>
      </c>
      <c r="CL55" s="108" t="s">
        <v>3961</v>
      </c>
      <c r="CM55" s="108">
        <f>CM54/24*CM25</f>
        <v>1.1088772246484753E-3</v>
      </c>
      <c r="CO55" s="108">
        <v>2034</v>
      </c>
      <c r="CP55" s="108">
        <v>17.271195082220139</v>
      </c>
      <c r="CW55" s="108">
        <v>10</v>
      </c>
      <c r="CX55" s="108">
        <v>31</v>
      </c>
      <c r="CY55" s="108">
        <v>17.889196478245907</v>
      </c>
      <c r="DD55" s="114" t="s">
        <v>3674</v>
      </c>
      <c r="DE55" s="108">
        <f ca="1">DE47*DE46</f>
        <v>0.73362264591799231</v>
      </c>
      <c r="DJ55" s="108" t="s">
        <v>3508</v>
      </c>
      <c r="DK55" s="108" t="b">
        <f ca="1">ISNUMBER(DI63)</f>
        <v>1</v>
      </c>
      <c r="DN55" s="108">
        <f ca="1">DK60</f>
        <v>10.157333711617344</v>
      </c>
      <c r="DR55" s="108">
        <f ca="1">DO92</f>
        <v>9.4400226970406464</v>
      </c>
      <c r="DV55" s="108" t="s">
        <v>3508</v>
      </c>
      <c r="DW55" s="108" t="b">
        <f ca="1">ISNUMBER(DU63)</f>
        <v>1</v>
      </c>
      <c r="DZ55" s="108">
        <f ca="1">DW60</f>
        <v>11.868907184637903</v>
      </c>
      <c r="ED55" s="108">
        <f ca="1">EA92</f>
        <v>52.134431078274197</v>
      </c>
    </row>
    <row r="56" spans="1:135" ht="15.75">
      <c r="A56" s="108">
        <v>49</v>
      </c>
      <c r="B56" s="108" t="str">
        <f t="shared" si="0"/>
        <v>α leo</v>
      </c>
      <c r="C56" s="108">
        <f t="shared" si="1"/>
        <v>0</v>
      </c>
      <c r="F56" s="108" t="s">
        <v>462</v>
      </c>
      <c r="G56" s="108">
        <v>11</v>
      </c>
      <c r="H56" s="108">
        <v>18</v>
      </c>
      <c r="I56" s="108">
        <v>10.9</v>
      </c>
      <c r="J56" s="108">
        <v>31</v>
      </c>
      <c r="K56" s="108">
        <v>31</v>
      </c>
      <c r="L56" s="108">
        <v>45</v>
      </c>
      <c r="M56" s="108" t="s">
        <v>463</v>
      </c>
      <c r="N56" s="108" t="s">
        <v>464</v>
      </c>
      <c r="R56" s="108" t="s">
        <v>465</v>
      </c>
      <c r="S56" s="108" t="s">
        <v>456</v>
      </c>
      <c r="T56" s="108" t="str">
        <f t="shared" si="33"/>
        <v>α</v>
      </c>
      <c r="U56" s="108" t="str">
        <f t="shared" si="34"/>
        <v/>
      </c>
      <c r="X56" s="108" t="s">
        <v>466</v>
      </c>
      <c r="Y56" s="108" t="s">
        <v>296</v>
      </c>
      <c r="AA56" s="108" t="s">
        <v>467</v>
      </c>
      <c r="AB56" s="108" t="s">
        <v>468</v>
      </c>
      <c r="AC56" s="108" t="s">
        <v>469</v>
      </c>
      <c r="AD56" s="108" t="s">
        <v>470</v>
      </c>
      <c r="AE56" s="108" t="s">
        <v>471</v>
      </c>
      <c r="AI56" s="109" t="s">
        <v>301</v>
      </c>
      <c r="AM56" s="108"/>
      <c r="AN56" s="108"/>
      <c r="AO56" s="108"/>
      <c r="AP56" s="108"/>
      <c r="AQ56" s="108"/>
      <c r="AR56" s="108"/>
      <c r="AS56" s="108"/>
      <c r="AT56" s="108"/>
      <c r="AU56" s="108"/>
      <c r="AV56" s="108"/>
      <c r="AW56" s="108"/>
      <c r="AX56" s="108"/>
      <c r="AY56" s="108"/>
      <c r="AZ56" s="108"/>
      <c r="BA56" s="108"/>
      <c r="BB56" s="108"/>
      <c r="BC56" s="108"/>
      <c r="BM56" s="108" t="s">
        <v>3775</v>
      </c>
      <c r="BN56" s="108">
        <f>IF(BN55&gt;18,4,0)</f>
        <v>0</v>
      </c>
      <c r="BS56" s="109" t="s">
        <v>3777</v>
      </c>
      <c r="BX56" s="108" t="s">
        <v>3613</v>
      </c>
      <c r="CE56" s="108" t="s">
        <v>3617</v>
      </c>
      <c r="CF56" s="108">
        <f>IF(CF24=1,1,0)</f>
        <v>0</v>
      </c>
      <c r="CL56" s="108" t="s">
        <v>3612</v>
      </c>
      <c r="CM56" s="108">
        <f>CM54-CM55</f>
        <v>0.40502445610868476</v>
      </c>
      <c r="CO56" s="108">
        <v>2035</v>
      </c>
      <c r="CP56" s="108">
        <v>17.287884453329418</v>
      </c>
      <c r="CW56" s="108">
        <v>11</v>
      </c>
      <c r="CX56" s="108">
        <v>30</v>
      </c>
      <c r="CY56" s="108">
        <v>19.920571705932609</v>
      </c>
      <c r="DD56" s="114" t="s">
        <v>3675</v>
      </c>
      <c r="DE56" s="108">
        <f ca="1">DE54*DE46</f>
        <v>-0.38978680083226369</v>
      </c>
      <c r="DJ56" s="108" t="b">
        <v>0</v>
      </c>
      <c r="DK56" s="108">
        <f ca="1">IF(DK55=DJ56,0,DI63)</f>
        <v>10.157333711617344</v>
      </c>
      <c r="DM56" s="108">
        <v>900</v>
      </c>
      <c r="DN56" s="108">
        <f ca="1">IF(DN55&lt;DM56,DN55,-1)</f>
        <v>10.157333711617344</v>
      </c>
      <c r="DO56" s="108">
        <f ca="1">IF(DN56=-1,100,0)</f>
        <v>0</v>
      </c>
      <c r="DQ56" s="108">
        <v>90</v>
      </c>
      <c r="DR56" s="108">
        <f ca="1">IF(DR55&lt;DQ56,DR55,-1)</f>
        <v>9.4400226970406464</v>
      </c>
      <c r="DS56" s="108">
        <f ca="1">IF(DR56=-1,10,0)</f>
        <v>0</v>
      </c>
      <c r="DV56" s="108" t="b">
        <v>0</v>
      </c>
      <c r="DW56" s="108">
        <f ca="1">IF(DW55=DV56,0,DU63)</f>
        <v>11.868907184637903</v>
      </c>
      <c r="DY56" s="108">
        <v>900</v>
      </c>
      <c r="DZ56" s="108">
        <f ca="1">IF(DZ55&lt;DY56,DZ55,-1)</f>
        <v>11.868907184637903</v>
      </c>
      <c r="EA56" s="108">
        <f ca="1">IF(DZ56=-1,100,0)</f>
        <v>0</v>
      </c>
      <c r="EC56" s="108">
        <v>90</v>
      </c>
      <c r="ED56" s="108">
        <f ca="1">IF(ED55&lt;EC56,ED55,-1)</f>
        <v>52.134431078274197</v>
      </c>
      <c r="EE56" s="108">
        <f ca="1">IF(ED56=-1,10,0)</f>
        <v>0</v>
      </c>
    </row>
    <row r="57" spans="1:135" ht="15.75">
      <c r="A57" s="108">
        <v>50</v>
      </c>
      <c r="B57" s="108" t="str">
        <f t="shared" si="0"/>
        <v>α leo</v>
      </c>
      <c r="C57" s="108">
        <f t="shared" si="1"/>
        <v>0</v>
      </c>
      <c r="F57" s="108" t="s">
        <v>472</v>
      </c>
      <c r="G57" s="108">
        <v>8</v>
      </c>
      <c r="H57" s="108">
        <v>30</v>
      </c>
      <c r="I57" s="108">
        <v>15.9</v>
      </c>
      <c r="J57" s="108">
        <v>60</v>
      </c>
      <c r="K57" s="108">
        <v>43</v>
      </c>
      <c r="L57" s="108">
        <v>5</v>
      </c>
      <c r="M57" s="108" t="s">
        <v>473</v>
      </c>
      <c r="N57" s="108" t="s">
        <v>474</v>
      </c>
      <c r="R57" s="108" t="s">
        <v>475</v>
      </c>
      <c r="S57" s="108" t="s">
        <v>456</v>
      </c>
      <c r="T57" s="108" t="str">
        <f t="shared" si="33"/>
        <v>α</v>
      </c>
      <c r="U57" s="108" t="str">
        <f t="shared" si="34"/>
        <v/>
      </c>
      <c r="X57" s="108" t="s">
        <v>476</v>
      </c>
      <c r="Y57" s="108" t="s">
        <v>296</v>
      </c>
      <c r="AA57" s="108" t="s">
        <v>447</v>
      </c>
      <c r="AB57" s="108" t="s">
        <v>85</v>
      </c>
      <c r="AC57" s="108" t="s">
        <v>477</v>
      </c>
      <c r="AD57" s="108" t="s">
        <v>457</v>
      </c>
      <c r="AE57" s="108" t="s">
        <v>478</v>
      </c>
      <c r="AI57" s="108" t="s">
        <v>479</v>
      </c>
      <c r="AJ57" s="108">
        <f>LOOKUP(AJ55,(A5:A1209),(G5:G1209))</f>
        <v>0</v>
      </c>
      <c r="AM57" s="108"/>
      <c r="AN57" s="108"/>
      <c r="AO57" s="108"/>
      <c r="AP57" s="108"/>
      <c r="AQ57" s="108"/>
      <c r="AR57" s="108"/>
      <c r="AS57" s="108"/>
      <c r="AT57" s="108"/>
      <c r="AU57" s="108"/>
      <c r="AV57" s="108"/>
      <c r="AW57" s="108"/>
      <c r="AX57" s="108"/>
      <c r="AY57" s="108"/>
      <c r="AZ57" s="108"/>
      <c r="BA57" s="108"/>
      <c r="BB57" s="108"/>
      <c r="BC57" s="108"/>
      <c r="BM57" s="108" t="s">
        <v>3776</v>
      </c>
      <c r="BN57" s="108">
        <f>IF(BN55&gt;12,BN55,1000)</f>
        <v>1000</v>
      </c>
      <c r="BS57" s="109" t="s">
        <v>3962</v>
      </c>
      <c r="BT57" s="109">
        <v>1</v>
      </c>
      <c r="BX57" s="108" t="s">
        <v>3616</v>
      </c>
      <c r="CE57" s="108" t="s">
        <v>3465</v>
      </c>
      <c r="CF57" s="108">
        <f>CF55+CF56</f>
        <v>0</v>
      </c>
      <c r="CL57" s="108" t="s">
        <v>3615</v>
      </c>
      <c r="CM57" s="108">
        <f>CM24-CM56</f>
        <v>1.6263507715780183</v>
      </c>
      <c r="CO57" s="108">
        <v>2036</v>
      </c>
      <c r="CP57" s="108">
        <v>17.304573824438698</v>
      </c>
      <c r="CW57" s="108">
        <v>12</v>
      </c>
      <c r="CX57" s="108">
        <v>31</v>
      </c>
      <c r="CY57" s="108">
        <v>21.886418700468127</v>
      </c>
      <c r="DD57" s="114" t="s">
        <v>3888</v>
      </c>
      <c r="DE57" s="108">
        <f ca="1">DE53-DE56 +DE52</f>
        <v>0.55404467839563043</v>
      </c>
      <c r="DJ57" s="108" t="s">
        <v>3799</v>
      </c>
      <c r="DK57" s="108">
        <f ca="1">-1*DK56</f>
        <v>-10.157333711617344</v>
      </c>
      <c r="DM57" s="108">
        <v>800</v>
      </c>
      <c r="DN57" s="108">
        <f t="shared" ref="DN57:DN64" ca="1" si="35">IF(DN56&lt;DM57,DN56,-1)</f>
        <v>10.157333711617344</v>
      </c>
      <c r="DO57" s="108">
        <f t="shared" ref="DO57:DO64" ca="1" si="36">IF(DN57=-1,100,0)</f>
        <v>0</v>
      </c>
      <c r="DQ57" s="108">
        <v>80</v>
      </c>
      <c r="DR57" s="108">
        <f t="shared" ref="DR57:DR64" ca="1" si="37">IF(DR56&lt;DQ57,DR56,-1)</f>
        <v>9.4400226970406464</v>
      </c>
      <c r="DS57" s="108">
        <f t="shared" ref="DS57:DS64" ca="1" si="38">IF(DR57=-1,10,0)</f>
        <v>0</v>
      </c>
      <c r="DV57" s="108" t="s">
        <v>3799</v>
      </c>
      <c r="DW57" s="108">
        <f ca="1">-1*DW56</f>
        <v>-11.868907184637903</v>
      </c>
      <c r="DY57" s="108">
        <v>800</v>
      </c>
      <c r="DZ57" s="108">
        <f t="shared" ref="DZ57:DZ64" ca="1" si="39">IF(DZ56&lt;DY57,DZ56,-1)</f>
        <v>11.868907184637903</v>
      </c>
      <c r="EA57" s="108">
        <f t="shared" ref="EA57:EA64" ca="1" si="40">IF(DZ57=-1,100,0)</f>
        <v>0</v>
      </c>
      <c r="EC57" s="108">
        <v>80</v>
      </c>
      <c r="ED57" s="108">
        <f t="shared" ref="ED57:ED64" ca="1" si="41">IF(ED56&lt;EC57,ED56,-1)</f>
        <v>52.134431078274197</v>
      </c>
      <c r="EE57" s="108">
        <f t="shared" ref="EE57:EE64" ca="1" si="42">IF(ED57=-1,10,0)</f>
        <v>0</v>
      </c>
    </row>
    <row r="58" spans="1:135" ht="15.75">
      <c r="A58" s="108">
        <v>51</v>
      </c>
      <c r="B58" s="108" t="str">
        <f t="shared" si="0"/>
        <v>α leo</v>
      </c>
      <c r="C58" s="108">
        <f t="shared" si="1"/>
        <v>0</v>
      </c>
      <c r="F58" s="108" t="s">
        <v>480</v>
      </c>
      <c r="G58" s="108">
        <v>9</v>
      </c>
      <c r="H58" s="108">
        <v>50</v>
      </c>
      <c r="I58" s="108">
        <v>59.4</v>
      </c>
      <c r="J58" s="108">
        <v>59</v>
      </c>
      <c r="K58" s="108">
        <v>2</v>
      </c>
      <c r="L58" s="108">
        <v>19</v>
      </c>
      <c r="M58" s="108" t="s">
        <v>481</v>
      </c>
      <c r="N58" s="108" t="s">
        <v>482</v>
      </c>
      <c r="R58" s="108" t="s">
        <v>483</v>
      </c>
      <c r="S58" s="108" t="s">
        <v>484</v>
      </c>
      <c r="T58" s="108" t="str">
        <f t="shared" si="33"/>
        <v>α</v>
      </c>
      <c r="U58" s="108" t="str">
        <f t="shared" si="34"/>
        <v/>
      </c>
      <c r="X58" s="108" t="s">
        <v>485</v>
      </c>
      <c r="Y58" s="108" t="s">
        <v>296</v>
      </c>
      <c r="AA58" s="108" t="s">
        <v>486</v>
      </c>
      <c r="AB58" s="108" t="s">
        <v>487</v>
      </c>
      <c r="AC58" s="108" t="s">
        <v>488</v>
      </c>
      <c r="AD58" s="108" t="s">
        <v>489</v>
      </c>
      <c r="AE58" s="108" t="s">
        <v>490</v>
      </c>
      <c r="AI58" s="108" t="s">
        <v>491</v>
      </c>
      <c r="AJ58" s="108">
        <f>LOOKUP(AJ55,(A5:A1209),(H5:H1209))</f>
        <v>0</v>
      </c>
      <c r="AO58" s="11"/>
      <c r="AP58" s="11"/>
      <c r="AQ58" s="11"/>
      <c r="AR58" s="107" t="str">
        <f ca="1">IF(BE245=2,BF241,BF237)</f>
        <v xml:space="preserve">Το πρόγραμμα λειτούργει τα έτη 2000 έως και το 2040. </v>
      </c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M58" s="108" t="s">
        <v>3778</v>
      </c>
      <c r="BN58" s="108">
        <f>IF(BN57&gt;18,0,3)</f>
        <v>0</v>
      </c>
      <c r="BS58" s="108" t="s">
        <v>3780</v>
      </c>
      <c r="BT58" s="108">
        <f ca="1">BT45</f>
        <v>1.8426662883826563</v>
      </c>
      <c r="BX58" s="108" t="s">
        <v>3619</v>
      </c>
      <c r="CF58" s="108">
        <v>0</v>
      </c>
      <c r="CL58" s="108" t="s">
        <v>3618</v>
      </c>
      <c r="CM58" s="108">
        <f>CM22-1</f>
        <v>1</v>
      </c>
      <c r="CO58" s="108">
        <v>2037</v>
      </c>
      <c r="CP58" s="108">
        <v>17.25572379036948</v>
      </c>
      <c r="CW58" s="108">
        <v>13</v>
      </c>
      <c r="CX58" s="108">
        <v>0</v>
      </c>
      <c r="CY58" s="108">
        <v>0</v>
      </c>
      <c r="DD58" s="114" t="s">
        <v>3676</v>
      </c>
      <c r="DE58" s="108">
        <f ca="1">SQRT((DE57^2)+(DE55^2))</f>
        <v>0.91933002358360594</v>
      </c>
      <c r="DJ58" s="108" t="s">
        <v>3800</v>
      </c>
      <c r="DK58" s="108">
        <f ca="1">IF(DK57&lt;0,DK56,DK57)</f>
        <v>10.157333711617344</v>
      </c>
      <c r="DM58" s="108">
        <v>700</v>
      </c>
      <c r="DN58" s="108">
        <f t="shared" ca="1" si="35"/>
        <v>10.157333711617344</v>
      </c>
      <c r="DO58" s="108">
        <f t="shared" ca="1" si="36"/>
        <v>0</v>
      </c>
      <c r="DQ58" s="108">
        <v>70</v>
      </c>
      <c r="DR58" s="108">
        <f t="shared" ca="1" si="37"/>
        <v>9.4400226970406464</v>
      </c>
      <c r="DS58" s="108">
        <f t="shared" ca="1" si="38"/>
        <v>0</v>
      </c>
      <c r="DV58" s="108" t="s">
        <v>3800</v>
      </c>
      <c r="DW58" s="108">
        <f ca="1">IF(DW57&lt;0,DW56,DW57)</f>
        <v>11.868907184637903</v>
      </c>
      <c r="DY58" s="108">
        <v>700</v>
      </c>
      <c r="DZ58" s="108">
        <f t="shared" ca="1" si="39"/>
        <v>11.868907184637903</v>
      </c>
      <c r="EA58" s="108">
        <f t="shared" ca="1" si="40"/>
        <v>0</v>
      </c>
      <c r="EC58" s="108">
        <v>70</v>
      </c>
      <c r="ED58" s="108">
        <f t="shared" ca="1" si="41"/>
        <v>52.134431078274197</v>
      </c>
      <c r="EE58" s="108">
        <f t="shared" ca="1" si="42"/>
        <v>0</v>
      </c>
    </row>
    <row r="59" spans="1:135">
      <c r="A59" s="108">
        <v>52</v>
      </c>
      <c r="B59" s="108" t="str">
        <f t="shared" si="0"/>
        <v>α leo</v>
      </c>
      <c r="C59" s="108">
        <f t="shared" si="1"/>
        <v>0</v>
      </c>
      <c r="F59" s="108" t="s">
        <v>492</v>
      </c>
      <c r="G59" s="108">
        <v>11</v>
      </c>
      <c r="H59" s="108">
        <v>46</v>
      </c>
      <c r="I59" s="108">
        <v>3</v>
      </c>
      <c r="J59" s="108">
        <v>47</v>
      </c>
      <c r="K59" s="108">
        <v>46</v>
      </c>
      <c r="L59" s="108">
        <v>46</v>
      </c>
      <c r="M59" s="108" t="s">
        <v>493</v>
      </c>
      <c r="N59" s="108" t="s">
        <v>494</v>
      </c>
      <c r="R59" s="108" t="s">
        <v>495</v>
      </c>
      <c r="S59" s="108" t="s">
        <v>484</v>
      </c>
      <c r="T59" s="108" t="str">
        <f t="shared" si="33"/>
        <v>α</v>
      </c>
      <c r="U59" s="108" t="str">
        <f t="shared" si="34"/>
        <v/>
      </c>
      <c r="X59" s="108" t="s">
        <v>299</v>
      </c>
      <c r="Y59" s="108" t="s">
        <v>296</v>
      </c>
      <c r="AA59" s="108" t="s">
        <v>496</v>
      </c>
      <c r="AB59" s="108" t="s">
        <v>497</v>
      </c>
      <c r="AC59" s="108" t="s">
        <v>498</v>
      </c>
      <c r="AD59" s="108" t="s">
        <v>499</v>
      </c>
      <c r="AE59" s="108" t="s">
        <v>500</v>
      </c>
      <c r="AI59" s="108" t="s">
        <v>501</v>
      </c>
      <c r="AJ59" s="108">
        <f>LOOKUP(AJ55,(A5:A1209),(I5:I1209))</f>
        <v>0</v>
      </c>
      <c r="AO59" s="11"/>
      <c r="AP59" s="11"/>
      <c r="AQ59" s="11"/>
      <c r="AR59" s="107" t="str">
        <f ca="1">IF(BE246=2,BF242,BF238)</f>
        <v>Στα Γεωγραφικά μήκη από 19  έως και 30 μοίρες Ανατολικά.</v>
      </c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M59" s="108" t="s">
        <v>3779</v>
      </c>
      <c r="BN59" s="108">
        <f>IF(BN55&gt;6,BN55,1000)</f>
        <v>10.139527777777777</v>
      </c>
      <c r="BS59" s="108" t="s">
        <v>3782</v>
      </c>
      <c r="BT59" s="108">
        <f ca="1">24+BT58</f>
        <v>25.842666288382656</v>
      </c>
      <c r="BX59" s="108" t="s">
        <v>3621</v>
      </c>
      <c r="CF59" s="108">
        <v>1</v>
      </c>
      <c r="CG59" s="108">
        <f>CF54</f>
        <v>2</v>
      </c>
      <c r="CL59" s="108" t="s">
        <v>3620</v>
      </c>
      <c r="CM59" s="108">
        <f>CM58*CM25</f>
        <v>6.5527872763206041E-2</v>
      </c>
      <c r="CO59" s="108">
        <v>2038</v>
      </c>
      <c r="CP59" s="108">
        <v>17.272413161478759</v>
      </c>
      <c r="CW59" s="109" t="s">
        <v>146</v>
      </c>
      <c r="CX59" s="108">
        <f>LOOKUP(CX43,(CW45:CW58),(CX45:CX58))</f>
        <v>0</v>
      </c>
      <c r="CY59" s="108">
        <f>LOOKUP(CX43,(CW45:CW58),(CY45:CY58))</f>
        <v>0</v>
      </c>
      <c r="DD59" s="108" t="s">
        <v>3963</v>
      </c>
      <c r="DE59" s="108">
        <f ca="1">IF(DE58=0,0.000000001,DE58)</f>
        <v>0.91933002358360594</v>
      </c>
      <c r="DJ59" s="108" t="s">
        <v>3801</v>
      </c>
      <c r="DK59" s="109">
        <f ca="1">IF(DK56&lt;0,0,1)</f>
        <v>1</v>
      </c>
      <c r="DM59" s="108">
        <v>600</v>
      </c>
      <c r="DN59" s="108">
        <f t="shared" ca="1" si="35"/>
        <v>10.157333711617344</v>
      </c>
      <c r="DO59" s="108">
        <f t="shared" ca="1" si="36"/>
        <v>0</v>
      </c>
      <c r="DQ59" s="108">
        <v>60</v>
      </c>
      <c r="DR59" s="108">
        <f t="shared" ca="1" si="37"/>
        <v>9.4400226970406464</v>
      </c>
      <c r="DS59" s="108">
        <f t="shared" ca="1" si="38"/>
        <v>0</v>
      </c>
      <c r="DV59" s="108" t="s">
        <v>3801</v>
      </c>
      <c r="DW59" s="109">
        <f ca="1">IF(DW56&lt;0,0,1)</f>
        <v>1</v>
      </c>
      <c r="DY59" s="108">
        <v>600</v>
      </c>
      <c r="DZ59" s="108">
        <f t="shared" ca="1" si="39"/>
        <v>11.868907184637903</v>
      </c>
      <c r="EA59" s="108">
        <f t="shared" ca="1" si="40"/>
        <v>0</v>
      </c>
      <c r="EC59" s="108">
        <v>60</v>
      </c>
      <c r="ED59" s="108">
        <f t="shared" ca="1" si="41"/>
        <v>52.134431078274197</v>
      </c>
      <c r="EE59" s="108">
        <f t="shared" ca="1" si="42"/>
        <v>0</v>
      </c>
    </row>
    <row r="60" spans="1:135" ht="15.75">
      <c r="A60" s="108">
        <v>53</v>
      </c>
      <c r="B60" s="108" t="str">
        <f t="shared" si="0"/>
        <v>α leo</v>
      </c>
      <c r="C60" s="108">
        <f t="shared" si="1"/>
        <v>0</v>
      </c>
      <c r="F60" s="108" t="s">
        <v>502</v>
      </c>
      <c r="G60" s="108">
        <v>11</v>
      </c>
      <c r="H60" s="108">
        <v>9</v>
      </c>
      <c r="I60" s="108">
        <v>39.799999999999997</v>
      </c>
      <c r="J60" s="108">
        <v>44</v>
      </c>
      <c r="K60" s="108">
        <v>29</v>
      </c>
      <c r="L60" s="108">
        <v>55</v>
      </c>
      <c r="M60" s="108" t="s">
        <v>503</v>
      </c>
      <c r="N60" s="108" t="s">
        <v>504</v>
      </c>
      <c r="R60" s="108" t="s">
        <v>505</v>
      </c>
      <c r="S60" s="108" t="s">
        <v>484</v>
      </c>
      <c r="T60" s="108" t="str">
        <f t="shared" si="33"/>
        <v>α</v>
      </c>
      <c r="U60" s="108" t="str">
        <f t="shared" si="34"/>
        <v/>
      </c>
      <c r="X60" s="108" t="s">
        <v>506</v>
      </c>
      <c r="Y60" s="108" t="s">
        <v>296</v>
      </c>
      <c r="AA60" s="108" t="s">
        <v>507</v>
      </c>
      <c r="AB60" s="108" t="s">
        <v>508</v>
      </c>
      <c r="AC60" s="108" t="s">
        <v>509</v>
      </c>
      <c r="AD60" s="108" t="s">
        <v>510</v>
      </c>
      <c r="AE60" s="108" t="s">
        <v>511</v>
      </c>
      <c r="AI60" s="109" t="s">
        <v>338</v>
      </c>
      <c r="AO60" s="11"/>
      <c r="AP60" s="11"/>
      <c r="AQ60" s="11"/>
      <c r="AR60" s="107" t="str">
        <f ca="1">IF(BE247=2,BF243,BF239)</f>
        <v>Και στα Γεωγραφικά πλάτη, από 0,001 έως 90 μοίρες βόρεια του Γήινου Ισημερινού.</v>
      </c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M60" s="108" t="s">
        <v>3781</v>
      </c>
      <c r="BN60" s="108">
        <f>IF(BN59&gt;12,0,2)</f>
        <v>2</v>
      </c>
      <c r="BS60" s="108" t="s">
        <v>3784</v>
      </c>
      <c r="BT60" s="108">
        <f ca="1">IF(BT58&lt;0,BT59,BT58)</f>
        <v>1.8426662883826563</v>
      </c>
      <c r="BX60" s="108" t="s">
        <v>3623</v>
      </c>
      <c r="CF60" s="108">
        <v>2</v>
      </c>
      <c r="CG60" s="108">
        <f>CF54</f>
        <v>2</v>
      </c>
      <c r="CL60" s="108" t="s">
        <v>3622</v>
      </c>
      <c r="CM60" s="108">
        <f>CM57+CM59</f>
        <v>1.6918786443412244</v>
      </c>
      <c r="CO60" s="108">
        <v>2039</v>
      </c>
      <c r="CP60" s="108">
        <v>17.289102532588039</v>
      </c>
      <c r="DD60" s="114" t="s">
        <v>3677</v>
      </c>
      <c r="DE60" s="108">
        <f ca="1">DE55/DE59</f>
        <v>0.79799704904478741</v>
      </c>
      <c r="DJ60" s="108" t="s">
        <v>3802</v>
      </c>
      <c r="DK60" s="108">
        <f ca="1">IF(DK58&gt;1000,0,DK58)</f>
        <v>10.157333711617344</v>
      </c>
      <c r="DM60" s="108">
        <v>500</v>
      </c>
      <c r="DN60" s="108">
        <f t="shared" ca="1" si="35"/>
        <v>10.157333711617344</v>
      </c>
      <c r="DO60" s="108">
        <f t="shared" ca="1" si="36"/>
        <v>0</v>
      </c>
      <c r="DQ60" s="108">
        <v>50</v>
      </c>
      <c r="DR60" s="108">
        <f t="shared" ca="1" si="37"/>
        <v>9.4400226970406464</v>
      </c>
      <c r="DS60" s="108">
        <f t="shared" ca="1" si="38"/>
        <v>0</v>
      </c>
      <c r="DV60" s="108" t="s">
        <v>3802</v>
      </c>
      <c r="DW60" s="108">
        <f ca="1">IF(DW58&gt;1000,0,DW58)</f>
        <v>11.868907184637903</v>
      </c>
      <c r="DY60" s="108">
        <v>500</v>
      </c>
      <c r="DZ60" s="108">
        <f t="shared" ca="1" si="39"/>
        <v>11.868907184637903</v>
      </c>
      <c r="EA60" s="108">
        <f t="shared" ca="1" si="40"/>
        <v>0</v>
      </c>
      <c r="EC60" s="108">
        <v>50</v>
      </c>
      <c r="ED60" s="108">
        <f t="shared" ca="1" si="41"/>
        <v>-1</v>
      </c>
      <c r="EE60" s="108">
        <f t="shared" ca="1" si="42"/>
        <v>10</v>
      </c>
    </row>
    <row r="61" spans="1:135" ht="15.75">
      <c r="A61" s="108">
        <v>54</v>
      </c>
      <c r="B61" s="108" t="str">
        <f t="shared" si="0"/>
        <v>α leo</v>
      </c>
      <c r="C61" s="108">
        <f t="shared" si="1"/>
        <v>0</v>
      </c>
      <c r="F61" s="108" t="s">
        <v>512</v>
      </c>
      <c r="M61" s="108" t="s">
        <v>513</v>
      </c>
      <c r="N61" s="108" t="s">
        <v>514</v>
      </c>
      <c r="R61" s="108" t="s">
        <v>515</v>
      </c>
      <c r="S61" s="108" t="s">
        <v>516</v>
      </c>
      <c r="T61" s="108" t="str">
        <f t="shared" si="33"/>
        <v>α</v>
      </c>
      <c r="U61" s="108" t="str">
        <f t="shared" si="34"/>
        <v/>
      </c>
      <c r="X61" s="108" t="s">
        <v>517</v>
      </c>
      <c r="Y61" s="108" t="s">
        <v>296</v>
      </c>
      <c r="AA61" s="108" t="s">
        <v>518</v>
      </c>
      <c r="AB61" s="108" t="s">
        <v>519</v>
      </c>
      <c r="AC61" s="108" t="s">
        <v>520</v>
      </c>
      <c r="AD61" s="108" t="s">
        <v>521</v>
      </c>
      <c r="AE61" s="108" t="s">
        <v>522</v>
      </c>
      <c r="AI61" s="108" t="s">
        <v>523</v>
      </c>
      <c r="AJ61" s="108">
        <f>LOOKUP(AJ55,(A5:A1209),(J5:J1209))</f>
        <v>0</v>
      </c>
      <c r="AO61" s="11"/>
      <c r="AP61" s="70" t="s">
        <v>3721</v>
      </c>
      <c r="AQ61" s="11"/>
      <c r="AR61" s="11"/>
      <c r="AS61" s="69">
        <f>AJ76</f>
        <v>368</v>
      </c>
      <c r="AT61" s="11"/>
      <c r="AU61" s="11"/>
      <c r="AV61" s="11"/>
      <c r="AW61" s="11"/>
      <c r="AX61" s="11"/>
      <c r="AY61" s="11"/>
      <c r="AZ61" s="11"/>
      <c r="BA61" s="11"/>
      <c r="BB61" s="11"/>
      <c r="BM61" s="108" t="s">
        <v>3783</v>
      </c>
      <c r="BN61" s="108">
        <f>IF(BN55&gt;6,0,1)</f>
        <v>0</v>
      </c>
      <c r="BX61" s="109" t="s">
        <v>3624</v>
      </c>
      <c r="CE61" s="108" t="s">
        <v>3627</v>
      </c>
      <c r="CF61" s="108">
        <f>IF(CF57=2,CH47,CF24)</f>
        <v>2</v>
      </c>
      <c r="CG61" s="108">
        <f>CF61</f>
        <v>2</v>
      </c>
      <c r="CL61" s="108" t="s">
        <v>3964</v>
      </c>
      <c r="CM61" s="108">
        <f>CM18-CM60</f>
        <v>15.60782286306299</v>
      </c>
      <c r="CO61" s="108">
        <v>2040</v>
      </c>
      <c r="CP61" s="108">
        <v>17.305791903697319</v>
      </c>
      <c r="DD61" s="114" t="s">
        <v>3965</v>
      </c>
      <c r="DE61" s="108">
        <f ca="1">DEGREES(ASIN(RADIANS(DEGREES(DE60))))</f>
        <v>52.939258057622681</v>
      </c>
      <c r="DM61" s="108">
        <v>400</v>
      </c>
      <c r="DN61" s="108">
        <f t="shared" ca="1" si="35"/>
        <v>10.157333711617344</v>
      </c>
      <c r="DO61" s="108">
        <f t="shared" ca="1" si="36"/>
        <v>0</v>
      </c>
      <c r="DQ61" s="108">
        <v>40</v>
      </c>
      <c r="DR61" s="108">
        <f t="shared" ca="1" si="37"/>
        <v>9.4400226970406464</v>
      </c>
      <c r="DS61" s="108">
        <f t="shared" ca="1" si="38"/>
        <v>0</v>
      </c>
      <c r="DY61" s="108">
        <v>400</v>
      </c>
      <c r="DZ61" s="108">
        <f t="shared" ca="1" si="39"/>
        <v>11.868907184637903</v>
      </c>
      <c r="EA61" s="108">
        <f t="shared" ca="1" si="40"/>
        <v>0</v>
      </c>
      <c r="EC61" s="108">
        <v>40</v>
      </c>
      <c r="ED61" s="108">
        <f t="shared" ca="1" si="41"/>
        <v>-1</v>
      </c>
      <c r="EE61" s="108">
        <f t="shared" ca="1" si="42"/>
        <v>10</v>
      </c>
    </row>
    <row r="62" spans="1:135">
      <c r="A62" s="108">
        <v>55</v>
      </c>
      <c r="B62" s="108" t="str">
        <f t="shared" si="0"/>
        <v>α leo</v>
      </c>
      <c r="C62" s="108">
        <f t="shared" si="1"/>
        <v>0</v>
      </c>
      <c r="F62" s="108" t="s">
        <v>524</v>
      </c>
      <c r="G62" s="108">
        <v>2</v>
      </c>
      <c r="H62" s="108">
        <v>31</v>
      </c>
      <c r="I62" s="108">
        <v>49.1</v>
      </c>
      <c r="J62" s="108">
        <v>89</v>
      </c>
      <c r="K62" s="108">
        <v>15</v>
      </c>
      <c r="L62" s="108">
        <v>51</v>
      </c>
      <c r="M62" s="108" t="s">
        <v>525</v>
      </c>
      <c r="N62" s="108" t="s">
        <v>526</v>
      </c>
      <c r="R62" s="108" t="s">
        <v>527</v>
      </c>
      <c r="S62" s="108" t="s">
        <v>516</v>
      </c>
      <c r="T62" s="108" t="str">
        <f t="shared" si="33"/>
        <v>α</v>
      </c>
      <c r="U62" s="108" t="str">
        <f t="shared" si="34"/>
        <v/>
      </c>
      <c r="X62" s="108" t="s">
        <v>528</v>
      </c>
      <c r="Y62" s="108" t="s">
        <v>344</v>
      </c>
      <c r="AA62" s="108" t="s">
        <v>529</v>
      </c>
      <c r="AB62" s="108" t="s">
        <v>85</v>
      </c>
      <c r="AC62" s="108" t="s">
        <v>530</v>
      </c>
      <c r="AD62" s="108" t="s">
        <v>531</v>
      </c>
      <c r="AE62" s="108" t="s">
        <v>532</v>
      </c>
      <c r="AI62" s="108" t="s">
        <v>533</v>
      </c>
      <c r="AJ62" s="108">
        <f>LOOKUP(AJ55,(A5:A1209),(K5:K1209))</f>
        <v>0</v>
      </c>
      <c r="AO62" s="28"/>
      <c r="AP62" s="29" t="str">
        <f>BE49</f>
        <v/>
      </c>
      <c r="AQ62" s="30"/>
      <c r="AR62" s="30"/>
      <c r="AS62" s="30"/>
      <c r="AT62" s="30"/>
      <c r="AU62" s="30"/>
      <c r="AV62" s="31" t="str">
        <f>BE50</f>
        <v/>
      </c>
      <c r="AW62" s="30"/>
      <c r="AX62" s="30"/>
      <c r="AY62" s="30"/>
      <c r="AZ62" s="30"/>
      <c r="BA62" s="32"/>
      <c r="BB62" s="28"/>
      <c r="BM62" s="108" t="s">
        <v>3785</v>
      </c>
      <c r="BN62" s="109">
        <f>BN61+BN60+BN58+BN56</f>
        <v>2</v>
      </c>
      <c r="BS62" s="109" t="s">
        <v>3966</v>
      </c>
      <c r="BT62" s="109">
        <v>2</v>
      </c>
      <c r="BX62" s="108" t="s">
        <v>3626</v>
      </c>
      <c r="BY62" s="108">
        <v>6.5527872763206041E-2</v>
      </c>
      <c r="CE62" s="108" t="s">
        <v>3630</v>
      </c>
      <c r="CF62" s="108">
        <f>LOOKUP(CF57,(CF58:CF60),(CG59:CG61))</f>
        <v>2</v>
      </c>
      <c r="CL62" s="108" t="s">
        <v>3625</v>
      </c>
      <c r="CM62" s="108">
        <f>24-CM25</f>
        <v>23.934472127236795</v>
      </c>
      <c r="CO62" s="108">
        <v>2041</v>
      </c>
      <c r="CW62" s="109" t="s">
        <v>3629</v>
      </c>
      <c r="DI62" s="109" t="s">
        <v>1</v>
      </c>
      <c r="DM62" s="108">
        <v>300</v>
      </c>
      <c r="DN62" s="108">
        <f t="shared" ca="1" si="35"/>
        <v>10.157333711617344</v>
      </c>
      <c r="DO62" s="108">
        <f t="shared" ca="1" si="36"/>
        <v>0</v>
      </c>
      <c r="DQ62" s="108">
        <v>30</v>
      </c>
      <c r="DR62" s="108">
        <f t="shared" ca="1" si="37"/>
        <v>9.4400226970406464</v>
      </c>
      <c r="DS62" s="108">
        <f t="shared" ca="1" si="38"/>
        <v>0</v>
      </c>
      <c r="DU62" s="109" t="s">
        <v>1</v>
      </c>
      <c r="DY62" s="108">
        <v>300</v>
      </c>
      <c r="DZ62" s="108">
        <f t="shared" ca="1" si="39"/>
        <v>11.868907184637903</v>
      </c>
      <c r="EA62" s="108">
        <f t="shared" ca="1" si="40"/>
        <v>0</v>
      </c>
      <c r="EC62" s="108">
        <v>30</v>
      </c>
      <c r="ED62" s="108">
        <f t="shared" ca="1" si="41"/>
        <v>-1</v>
      </c>
      <c r="EE62" s="108">
        <f t="shared" ca="1" si="42"/>
        <v>10</v>
      </c>
    </row>
    <row r="63" spans="1:135">
      <c r="A63" s="108">
        <v>56</v>
      </c>
      <c r="B63" s="108" t="str">
        <f t="shared" si="0"/>
        <v>α leo</v>
      </c>
      <c r="C63" s="108">
        <f t="shared" si="1"/>
        <v>0</v>
      </c>
      <c r="F63" s="108" t="s">
        <v>534</v>
      </c>
      <c r="G63" s="108">
        <v>14</v>
      </c>
      <c r="H63" s="108">
        <v>50</v>
      </c>
      <c r="I63" s="108">
        <v>42.3</v>
      </c>
      <c r="J63" s="108">
        <v>74</v>
      </c>
      <c r="K63" s="108">
        <v>9</v>
      </c>
      <c r="L63" s="108">
        <v>20</v>
      </c>
      <c r="M63" s="108" t="s">
        <v>535</v>
      </c>
      <c r="N63" s="108" t="s">
        <v>536</v>
      </c>
      <c r="R63" s="108" t="s">
        <v>537</v>
      </c>
      <c r="S63" s="108" t="s">
        <v>516</v>
      </c>
      <c r="T63" s="108" t="str">
        <f t="shared" si="33"/>
        <v>α</v>
      </c>
      <c r="U63" s="108" t="str">
        <f t="shared" si="34"/>
        <v/>
      </c>
      <c r="X63" s="108" t="s">
        <v>347</v>
      </c>
      <c r="Y63" s="108" t="s">
        <v>344</v>
      </c>
      <c r="AA63" s="108" t="s">
        <v>538</v>
      </c>
      <c r="AB63" s="108" t="s">
        <v>539</v>
      </c>
      <c r="AC63" s="108" t="s">
        <v>540</v>
      </c>
      <c r="AD63" s="108" t="s">
        <v>541</v>
      </c>
      <c r="AE63" s="108" t="s">
        <v>542</v>
      </c>
      <c r="AI63" s="108" t="s">
        <v>543</v>
      </c>
      <c r="AJ63" s="108">
        <f>LOOKUP(AJ55,(A5:A1209),(L5:L1209))</f>
        <v>0</v>
      </c>
      <c r="AO63" s="28"/>
      <c r="AP63" s="33" t="str">
        <f>BI49</f>
        <v/>
      </c>
      <c r="AQ63" s="24"/>
      <c r="AR63" s="24"/>
      <c r="AS63" s="24"/>
      <c r="AT63" s="24"/>
      <c r="AU63" s="18"/>
      <c r="AV63" s="18" t="str">
        <f>BI50</f>
        <v/>
      </c>
      <c r="AW63" s="24"/>
      <c r="AX63" s="24"/>
      <c r="AY63" s="24"/>
      <c r="AZ63" s="24"/>
      <c r="BA63" s="34"/>
      <c r="BB63" s="28"/>
      <c r="BS63" s="108" t="s">
        <v>3786</v>
      </c>
      <c r="BT63" s="108">
        <f ca="1">12-BT45</f>
        <v>10.157333711617344</v>
      </c>
      <c r="BX63" s="108">
        <f>AJ39+AJ40+AJ41</f>
        <v>40.299999999999997</v>
      </c>
      <c r="CL63" s="108" t="s">
        <v>3628</v>
      </c>
      <c r="CM63" s="108">
        <f xml:space="preserve"> IF(CM61&lt;0,CM62,0)</f>
        <v>0</v>
      </c>
      <c r="CO63" s="108" t="s">
        <v>146</v>
      </c>
      <c r="CP63" s="108">
        <f>LOOKUP(CP19,(CO21:CO62),(CP21:CP62))</f>
        <v>17.299701507404215</v>
      </c>
      <c r="CX63" s="108">
        <f>CX38+CX59</f>
        <v>29</v>
      </c>
      <c r="CY63" s="108">
        <f>CY38+CY59</f>
        <v>2.031375227686703</v>
      </c>
      <c r="DI63" s="109">
        <f ca="1">BN9</f>
        <v>10.157333711617344</v>
      </c>
      <c r="DM63" s="108">
        <v>200</v>
      </c>
      <c r="DN63" s="108">
        <f t="shared" ca="1" si="35"/>
        <v>10.157333711617344</v>
      </c>
      <c r="DO63" s="108">
        <f t="shared" ca="1" si="36"/>
        <v>0</v>
      </c>
      <c r="DQ63" s="108">
        <v>20</v>
      </c>
      <c r="DR63" s="108">
        <f t="shared" ca="1" si="37"/>
        <v>9.4400226970406464</v>
      </c>
      <c r="DS63" s="108">
        <f t="shared" ca="1" si="38"/>
        <v>0</v>
      </c>
      <c r="DU63" s="109">
        <f ca="1">BN10</f>
        <v>11.868907184637903</v>
      </c>
      <c r="DY63" s="108">
        <v>200</v>
      </c>
      <c r="DZ63" s="108">
        <f t="shared" ca="1" si="39"/>
        <v>11.868907184637903</v>
      </c>
      <c r="EA63" s="108">
        <f t="shared" ca="1" si="40"/>
        <v>0</v>
      </c>
      <c r="EC63" s="108">
        <v>20</v>
      </c>
      <c r="ED63" s="108">
        <f t="shared" ca="1" si="41"/>
        <v>-1</v>
      </c>
      <c r="EE63" s="108">
        <f t="shared" ca="1" si="42"/>
        <v>10</v>
      </c>
    </row>
    <row r="64" spans="1:135">
      <c r="A64" s="108">
        <v>57</v>
      </c>
      <c r="B64" s="108" t="str">
        <f t="shared" si="0"/>
        <v>α leo</v>
      </c>
      <c r="C64" s="108">
        <f t="shared" si="1"/>
        <v>0</v>
      </c>
      <c r="F64" s="108" t="s">
        <v>544</v>
      </c>
      <c r="G64" s="108">
        <v>15</v>
      </c>
      <c r="H64" s="108">
        <v>20</v>
      </c>
      <c r="I64" s="108">
        <v>43.7</v>
      </c>
      <c r="J64" s="108">
        <v>71</v>
      </c>
      <c r="K64" s="108">
        <v>50</v>
      </c>
      <c r="L64" s="108">
        <v>2</v>
      </c>
      <c r="M64" s="108" t="s">
        <v>545</v>
      </c>
      <c r="N64" s="108" t="s">
        <v>546</v>
      </c>
      <c r="R64" s="108" t="s">
        <v>547</v>
      </c>
      <c r="S64" s="108" t="s">
        <v>548</v>
      </c>
      <c r="T64" s="108" t="str">
        <f t="shared" si="33"/>
        <v>α</v>
      </c>
      <c r="U64" s="108" t="str">
        <f t="shared" si="34"/>
        <v/>
      </c>
      <c r="X64" s="108" t="s">
        <v>549</v>
      </c>
      <c r="Y64" s="108" t="s">
        <v>305</v>
      </c>
      <c r="AA64" s="108" t="s">
        <v>550</v>
      </c>
      <c r="AB64" s="108" t="s">
        <v>551</v>
      </c>
      <c r="AC64" s="108" t="s">
        <v>552</v>
      </c>
      <c r="AD64" s="108" t="s">
        <v>553</v>
      </c>
      <c r="AE64" s="108" t="s">
        <v>554</v>
      </c>
      <c r="AI64" s="109" t="s">
        <v>374</v>
      </c>
      <c r="AO64" s="11"/>
      <c r="AP64" s="21" t="s">
        <v>3445</v>
      </c>
      <c r="AQ64" s="15"/>
      <c r="AR64" s="15"/>
      <c r="AS64" s="18" t="s">
        <v>3460</v>
      </c>
      <c r="AT64" s="15"/>
      <c r="AU64" s="15"/>
      <c r="AV64" s="15"/>
      <c r="AW64" s="15"/>
      <c r="AX64" s="15"/>
      <c r="AY64" s="15"/>
      <c r="AZ64" s="15"/>
      <c r="BA64" s="22"/>
      <c r="BB64" s="11"/>
      <c r="BM64" s="109" t="s">
        <v>3777</v>
      </c>
      <c r="CL64" s="108" t="s">
        <v>3967</v>
      </c>
      <c r="CM64" s="108">
        <f>CM61+CM63</f>
        <v>15.60782286306299</v>
      </c>
      <c r="DI64" s="109" t="s">
        <v>146</v>
      </c>
      <c r="DM64" s="108">
        <v>100</v>
      </c>
      <c r="DN64" s="108">
        <f t="shared" ca="1" si="35"/>
        <v>10.157333711617344</v>
      </c>
      <c r="DO64" s="108">
        <f t="shared" ca="1" si="36"/>
        <v>0</v>
      </c>
      <c r="DQ64" s="108">
        <v>10</v>
      </c>
      <c r="DR64" s="108">
        <f t="shared" ca="1" si="37"/>
        <v>9.4400226970406464</v>
      </c>
      <c r="DS64" s="108">
        <f t="shared" ca="1" si="38"/>
        <v>0</v>
      </c>
      <c r="DU64" s="109" t="s">
        <v>146</v>
      </c>
      <c r="DY64" s="108">
        <v>100</v>
      </c>
      <c r="DZ64" s="108">
        <f t="shared" ca="1" si="39"/>
        <v>11.868907184637903</v>
      </c>
      <c r="EA64" s="108">
        <f t="shared" ca="1" si="40"/>
        <v>0</v>
      </c>
      <c r="EC64" s="108">
        <v>10</v>
      </c>
      <c r="ED64" s="108">
        <f t="shared" ca="1" si="41"/>
        <v>-1</v>
      </c>
      <c r="EE64" s="108">
        <f t="shared" ca="1" si="42"/>
        <v>10</v>
      </c>
    </row>
    <row r="65" spans="1:135">
      <c r="A65" s="108">
        <v>58</v>
      </c>
      <c r="B65" s="108" t="str">
        <f t="shared" si="0"/>
        <v>α leo</v>
      </c>
      <c r="C65" s="108">
        <f t="shared" si="1"/>
        <v>0</v>
      </c>
      <c r="F65" s="108" t="s">
        <v>555</v>
      </c>
      <c r="G65" s="108">
        <v>17</v>
      </c>
      <c r="H65" s="108">
        <v>32</v>
      </c>
      <c r="I65" s="108">
        <v>13</v>
      </c>
      <c r="J65" s="108">
        <v>86</v>
      </c>
      <c r="K65" s="108">
        <v>35</v>
      </c>
      <c r="L65" s="108">
        <v>11</v>
      </c>
      <c r="M65" s="108" t="s">
        <v>556</v>
      </c>
      <c r="N65" s="108" t="s">
        <v>557</v>
      </c>
      <c r="R65" s="108" t="s">
        <v>558</v>
      </c>
      <c r="S65" s="108" t="s">
        <v>559</v>
      </c>
      <c r="T65" s="108" t="str">
        <f t="shared" si="33"/>
        <v>α</v>
      </c>
      <c r="U65" s="108" t="str">
        <f t="shared" si="34"/>
        <v/>
      </c>
      <c r="X65" s="108" t="s">
        <v>560</v>
      </c>
      <c r="Y65" s="108" t="s">
        <v>305</v>
      </c>
      <c r="AA65" s="108" t="s">
        <v>561</v>
      </c>
      <c r="AB65" s="108" t="s">
        <v>142</v>
      </c>
      <c r="AC65" s="108" t="s">
        <v>562</v>
      </c>
      <c r="AD65" s="108" t="s">
        <v>563</v>
      </c>
      <c r="AE65" s="108" t="s">
        <v>564</v>
      </c>
      <c r="AJ65" s="108" t="str">
        <f>B1216</f>
        <v/>
      </c>
      <c r="AO65" s="11"/>
      <c r="AP65" s="23"/>
      <c r="AQ65" s="17" t="s">
        <v>3453</v>
      </c>
      <c r="AR65" s="12"/>
      <c r="AS65" s="19" t="s">
        <v>3461</v>
      </c>
      <c r="AT65" s="15"/>
      <c r="AU65" s="15"/>
      <c r="AV65" s="49">
        <f>Φύλλο2!Z124</f>
        <v>0</v>
      </c>
      <c r="AW65" s="60" t="str">
        <f>CF90</f>
        <v>Ώρα Ελλάδος</v>
      </c>
      <c r="AX65" s="15"/>
      <c r="AY65" s="16" t="str">
        <f>CM33</f>
        <v/>
      </c>
      <c r="AZ65" s="15"/>
      <c r="BA65" s="22"/>
      <c r="BB65" s="11"/>
      <c r="BM65" s="109" t="s">
        <v>3787</v>
      </c>
      <c r="BN65" s="109">
        <v>1</v>
      </c>
      <c r="BS65" s="109" t="s">
        <v>3968</v>
      </c>
      <c r="BT65" s="109">
        <v>3</v>
      </c>
      <c r="CE65" s="109" t="s">
        <v>3503</v>
      </c>
      <c r="DI65" s="108">
        <f ca="1">DR90</f>
        <v>10</v>
      </c>
      <c r="DJ65" s="108" t="s">
        <v>3803</v>
      </c>
      <c r="DM65" s="108" t="s">
        <v>3804</v>
      </c>
      <c r="DO65" s="108">
        <f ca="1">SUM(DO56:DO64)</f>
        <v>0</v>
      </c>
      <c r="DQ65" s="108" t="s">
        <v>3804</v>
      </c>
      <c r="DS65" s="108">
        <f ca="1">SUM(DS56:DS64)</f>
        <v>0</v>
      </c>
      <c r="DU65" s="108">
        <f ca="1">ED90</f>
        <v>11</v>
      </c>
      <c r="DV65" s="108" t="s">
        <v>3803</v>
      </c>
      <c r="DY65" s="108" t="s">
        <v>3804</v>
      </c>
      <c r="EA65" s="108">
        <f ca="1">SUM(EA56:EA64)</f>
        <v>0</v>
      </c>
      <c r="EC65" s="108" t="s">
        <v>3804</v>
      </c>
      <c r="EE65" s="108">
        <f ca="1">SUM(EE56:EE64)</f>
        <v>50</v>
      </c>
    </row>
    <row r="66" spans="1:135" ht="16.5">
      <c r="A66" s="108">
        <v>59</v>
      </c>
      <c r="B66" s="108" t="str">
        <f t="shared" si="0"/>
        <v>α leo</v>
      </c>
      <c r="C66" s="108">
        <f t="shared" si="1"/>
        <v>0</v>
      </c>
      <c r="F66" s="108" t="s">
        <v>565</v>
      </c>
      <c r="G66" s="108">
        <v>16</v>
      </c>
      <c r="H66" s="108">
        <v>45</v>
      </c>
      <c r="I66" s="108">
        <v>58.2</v>
      </c>
      <c r="J66" s="108">
        <v>82</v>
      </c>
      <c r="K66" s="108">
        <v>2</v>
      </c>
      <c r="L66" s="108">
        <v>14</v>
      </c>
      <c r="M66" s="108" t="s">
        <v>566</v>
      </c>
      <c r="N66" s="108" t="s">
        <v>567</v>
      </c>
      <c r="R66" s="108" t="s">
        <v>568</v>
      </c>
      <c r="S66" s="108" t="s">
        <v>559</v>
      </c>
      <c r="T66" s="108" t="str">
        <f t="shared" si="33"/>
        <v>α</v>
      </c>
      <c r="U66" s="108" t="str">
        <f t="shared" si="34"/>
        <v/>
      </c>
      <c r="X66" s="108" t="s">
        <v>569</v>
      </c>
      <c r="Y66" s="108" t="s">
        <v>305</v>
      </c>
      <c r="AA66" s="108" t="s">
        <v>570</v>
      </c>
      <c r="AB66" s="108" t="s">
        <v>85</v>
      </c>
      <c r="AC66" s="108" t="s">
        <v>571</v>
      </c>
      <c r="AD66" s="108" t="s">
        <v>572</v>
      </c>
      <c r="AE66" s="108" t="s">
        <v>573</v>
      </c>
      <c r="AJ66" s="108">
        <f>LOOKUP(AJ55,(A5:A1209),(M5:M1209))</f>
        <v>0</v>
      </c>
      <c r="AO66" s="11"/>
      <c r="AP66" s="23"/>
      <c r="AQ66" s="17" t="s">
        <v>3454</v>
      </c>
      <c r="AR66" s="12"/>
      <c r="AS66" s="18"/>
      <c r="AT66" s="14" t="s">
        <v>3512</v>
      </c>
      <c r="AU66" s="15"/>
      <c r="AV66" s="49">
        <f>Φύλλο2!AA124</f>
        <v>37</v>
      </c>
      <c r="AW66" s="16" t="str">
        <f>DE30</f>
        <v/>
      </c>
      <c r="AX66" s="15"/>
      <c r="AY66" s="16"/>
      <c r="AZ66" s="15"/>
      <c r="BA66" s="22"/>
      <c r="BB66" s="11"/>
      <c r="BM66" s="108" t="s">
        <v>3969</v>
      </c>
      <c r="BN66" s="108">
        <f ca="1">BN52</f>
        <v>30.170987280692842</v>
      </c>
      <c r="BS66" s="108" t="s">
        <v>3788</v>
      </c>
      <c r="BT66" s="108">
        <f ca="1">(BT45*-1)+12</f>
        <v>10.157333711617344</v>
      </c>
      <c r="CE66" s="108" t="s">
        <v>3633</v>
      </c>
      <c r="CF66" s="108">
        <f>IF(CF24=1,1,0)</f>
        <v>0</v>
      </c>
      <c r="CL66" s="109" t="s">
        <v>3631</v>
      </c>
      <c r="DI66" s="108">
        <f ca="1">DR91</f>
        <v>9</v>
      </c>
      <c r="DJ66" s="108" t="s">
        <v>14</v>
      </c>
      <c r="DO66" s="108">
        <f ca="1">DK60-DO65</f>
        <v>10.157333711617344</v>
      </c>
      <c r="DS66" s="108">
        <f ca="1">DR55-DS65</f>
        <v>9.4400226970406464</v>
      </c>
      <c r="DU66" s="108">
        <f ca="1">ED91</f>
        <v>52</v>
      </c>
      <c r="DV66" s="108" t="s">
        <v>14</v>
      </c>
      <c r="EA66" s="108">
        <f ca="1">DW60-EA65</f>
        <v>11.868907184637903</v>
      </c>
      <c r="EE66" s="108">
        <f ca="1">ED55-EE65</f>
        <v>2.1344310782741971</v>
      </c>
    </row>
    <row r="67" spans="1:135" ht="16.5">
      <c r="A67" s="108">
        <v>60</v>
      </c>
      <c r="B67" s="108" t="str">
        <f t="shared" si="0"/>
        <v>α leo</v>
      </c>
      <c r="C67" s="108">
        <f t="shared" si="1"/>
        <v>0</v>
      </c>
      <c r="F67" s="108" t="s">
        <v>574</v>
      </c>
      <c r="G67" s="108">
        <v>15</v>
      </c>
      <c r="H67" s="108">
        <v>14</v>
      </c>
      <c r="I67" s="108">
        <v>3.5</v>
      </c>
      <c r="J67" s="108">
        <v>77</v>
      </c>
      <c r="K67" s="108">
        <v>47</v>
      </c>
      <c r="L67" s="108">
        <v>40</v>
      </c>
      <c r="M67" s="108" t="s">
        <v>575</v>
      </c>
      <c r="N67" s="108" t="s">
        <v>576</v>
      </c>
      <c r="R67" s="108" t="s">
        <v>577</v>
      </c>
      <c r="S67" s="108" t="s">
        <v>578</v>
      </c>
      <c r="T67" s="108" t="str">
        <f t="shared" si="33"/>
        <v>α</v>
      </c>
      <c r="U67" s="108" t="str">
        <f t="shared" si="34"/>
        <v/>
      </c>
      <c r="X67" s="108" t="s">
        <v>579</v>
      </c>
      <c r="Y67" s="108" t="s">
        <v>305</v>
      </c>
      <c r="AA67" s="108" t="s">
        <v>304</v>
      </c>
      <c r="AB67" s="108" t="s">
        <v>297</v>
      </c>
      <c r="AC67" s="108" t="s">
        <v>580</v>
      </c>
      <c r="AD67" s="108" t="s">
        <v>313</v>
      </c>
      <c r="AE67" s="108" t="s">
        <v>581</v>
      </c>
      <c r="AO67" s="11"/>
      <c r="AP67" s="23"/>
      <c r="AQ67" s="17" t="s">
        <v>3455</v>
      </c>
      <c r="AR67" s="12"/>
      <c r="AS67" s="13" t="s">
        <v>200</v>
      </c>
      <c r="AT67" s="14" t="s">
        <v>3530</v>
      </c>
      <c r="AU67" s="15"/>
      <c r="AV67" s="49">
        <f>Φύλλο2!AB124</f>
        <v>23.908000000000001</v>
      </c>
      <c r="AW67" s="16" t="str">
        <f>CM45</f>
        <v/>
      </c>
      <c r="AX67" s="15"/>
      <c r="AY67" s="16"/>
      <c r="AZ67" s="16"/>
      <c r="BA67" s="22"/>
      <c r="BB67" s="11"/>
      <c r="BM67" s="108" t="s">
        <v>3970</v>
      </c>
      <c r="BN67" s="108">
        <f ca="1">360+BN66</f>
        <v>390.17098728069283</v>
      </c>
      <c r="CE67" s="108" t="s">
        <v>3614</v>
      </c>
      <c r="CF67" s="108">
        <f>IF(CF50=-1,1,0)</f>
        <v>0</v>
      </c>
      <c r="CL67" s="109" t="s">
        <v>3632</v>
      </c>
      <c r="DD67" s="115" t="s">
        <v>3678</v>
      </c>
      <c r="DI67" s="108">
        <f ca="1">DR92</f>
        <v>26.401361822438787</v>
      </c>
      <c r="DJ67" s="108" t="s">
        <v>3462</v>
      </c>
      <c r="DN67" s="108">
        <f ca="1">DO66</f>
        <v>10.157333711617344</v>
      </c>
      <c r="DR67" s="108">
        <f ca="1">DS66</f>
        <v>9.4400226970406464</v>
      </c>
      <c r="DU67" s="108">
        <f ca="1">ED92</f>
        <v>8.0658646964518255</v>
      </c>
      <c r="DV67" s="108" t="s">
        <v>3462</v>
      </c>
      <c r="DZ67" s="108">
        <f ca="1">EA66</f>
        <v>11.868907184637903</v>
      </c>
      <c r="ED67" s="108">
        <f ca="1">EE66</f>
        <v>2.1344310782741971</v>
      </c>
    </row>
    <row r="68" spans="1:135">
      <c r="A68" s="108">
        <v>61</v>
      </c>
      <c r="B68" s="108" t="str">
        <f t="shared" si="0"/>
        <v>α leo</v>
      </c>
      <c r="C68" s="108">
        <f t="shared" si="1"/>
        <v>0</v>
      </c>
      <c r="F68" s="108" t="s">
        <v>582</v>
      </c>
      <c r="G68" s="108">
        <v>16</v>
      </c>
      <c r="H68" s="108">
        <v>17</v>
      </c>
      <c r="I68" s="108">
        <v>30.3</v>
      </c>
      <c r="J68" s="108">
        <v>75</v>
      </c>
      <c r="K68" s="108">
        <v>45</v>
      </c>
      <c r="L68" s="108">
        <v>19</v>
      </c>
      <c r="M68" s="108" t="s">
        <v>583</v>
      </c>
      <c r="N68" s="108" t="s">
        <v>584</v>
      </c>
      <c r="R68" s="108" t="s">
        <v>585</v>
      </c>
      <c r="S68" s="108" t="s">
        <v>578</v>
      </c>
      <c r="T68" s="108" t="str">
        <f t="shared" si="33"/>
        <v>α</v>
      </c>
      <c r="U68" s="108" t="str">
        <f t="shared" si="34"/>
        <v/>
      </c>
      <c r="X68" s="108" t="s">
        <v>586</v>
      </c>
      <c r="Y68" s="108" t="s">
        <v>305</v>
      </c>
      <c r="AA68" s="108" t="s">
        <v>587</v>
      </c>
      <c r="AB68" s="108" t="s">
        <v>253</v>
      </c>
      <c r="AC68" s="108" t="s">
        <v>588</v>
      </c>
      <c r="AD68" s="108" t="s">
        <v>589</v>
      </c>
      <c r="AE68" s="108" t="s">
        <v>590</v>
      </c>
      <c r="AJ68" s="108" t="str">
        <f>B1217</f>
        <v/>
      </c>
      <c r="AO68" s="11"/>
      <c r="AP68" s="23"/>
      <c r="AQ68" s="14"/>
      <c r="AR68" s="12"/>
      <c r="AS68" s="13" t="str">
        <f>AS49</f>
        <v/>
      </c>
      <c r="AT68" s="15"/>
      <c r="AU68" s="15"/>
      <c r="AV68" s="15"/>
      <c r="AW68" s="15"/>
      <c r="AX68" s="15"/>
      <c r="AY68" s="16" t="str">
        <f>AV34</f>
        <v/>
      </c>
      <c r="AZ68" s="16"/>
      <c r="BA68" s="22"/>
      <c r="BB68" s="11"/>
      <c r="BM68" s="108" t="s">
        <v>3789</v>
      </c>
      <c r="BN68" s="109">
        <f ca="1">IF(BN67&gt;360,BN66,BN67)</f>
        <v>30.170987280692842</v>
      </c>
      <c r="BS68" s="109" t="s">
        <v>3971</v>
      </c>
      <c r="BT68" s="109">
        <v>4</v>
      </c>
      <c r="CE68" s="108" t="s">
        <v>3465</v>
      </c>
      <c r="CF68" s="108">
        <f>CF66+CF67</f>
        <v>0</v>
      </c>
      <c r="CL68" s="108" t="s">
        <v>3634</v>
      </c>
      <c r="CM68" s="108">
        <f>CM23</f>
        <v>10.525555555555556</v>
      </c>
      <c r="DD68" s="109" t="s">
        <v>3972</v>
      </c>
      <c r="DE68" s="108">
        <f>DE40</f>
        <v>37</v>
      </c>
      <c r="DI68" s="109" t="s">
        <v>3805</v>
      </c>
      <c r="DM68" s="108">
        <v>90</v>
      </c>
      <c r="DN68" s="108">
        <f ca="1">IF(DN67&lt;DM68,DN67,-1)</f>
        <v>10.157333711617344</v>
      </c>
      <c r="DO68" s="108">
        <f ca="1">IF(DN68=-1,10,0)</f>
        <v>0</v>
      </c>
      <c r="DQ68" s="108">
        <v>9</v>
      </c>
      <c r="DR68" s="108">
        <f ca="1">IF(DR67&lt;DQ68,DR67,-1)</f>
        <v>-1</v>
      </c>
      <c r="DS68" s="108">
        <f ca="1">IF(DR68=-1,1,0)</f>
        <v>1</v>
      </c>
      <c r="DU68" s="109" t="s">
        <v>3805</v>
      </c>
      <c r="DY68" s="108">
        <v>90</v>
      </c>
      <c r="DZ68" s="108">
        <f ca="1">IF(DZ67&lt;DY68,DZ67,-1)</f>
        <v>11.868907184637903</v>
      </c>
      <c r="EA68" s="108">
        <f ca="1">IF(DZ68=-1,10,0)</f>
        <v>0</v>
      </c>
      <c r="EC68" s="108">
        <v>9</v>
      </c>
      <c r="ED68" s="108">
        <f ca="1">IF(ED67&lt;EC68,ED67,-1)</f>
        <v>2.1344310782741971</v>
      </c>
      <c r="EE68" s="108">
        <f ca="1">IF(ED68=-1,1,0)</f>
        <v>0</v>
      </c>
    </row>
    <row r="69" spans="1:135">
      <c r="A69" s="108">
        <v>62</v>
      </c>
      <c r="B69" s="108" t="str">
        <f t="shared" si="0"/>
        <v>α leo</v>
      </c>
      <c r="C69" s="108">
        <f t="shared" si="1"/>
        <v>0</v>
      </c>
      <c r="F69" s="108" t="s">
        <v>53</v>
      </c>
      <c r="M69" s="108" t="s">
        <v>591</v>
      </c>
      <c r="N69" s="108" t="s">
        <v>51</v>
      </c>
      <c r="R69" s="108" t="s">
        <v>592</v>
      </c>
      <c r="S69" s="108" t="s">
        <v>578</v>
      </c>
      <c r="T69" s="108" t="str">
        <f t="shared" si="33"/>
        <v>α</v>
      </c>
      <c r="U69" s="108" t="str">
        <f t="shared" si="34"/>
        <v/>
      </c>
      <c r="X69" s="108" t="s">
        <v>308</v>
      </c>
      <c r="Y69" s="108" t="s">
        <v>305</v>
      </c>
      <c r="AA69" s="108" t="s">
        <v>593</v>
      </c>
      <c r="AB69" s="108" t="s">
        <v>594</v>
      </c>
      <c r="AC69" s="108" t="s">
        <v>595</v>
      </c>
      <c r="AD69" s="108" t="s">
        <v>596</v>
      </c>
      <c r="AE69" s="108" t="s">
        <v>597</v>
      </c>
      <c r="AJ69" s="108">
        <f ca="1">LOOKUP(AJ55,(A5:A1029),(N5:N1209))</f>
        <v>0</v>
      </c>
      <c r="AO69" s="11"/>
      <c r="AP69" s="23"/>
      <c r="AQ69" s="17" t="s">
        <v>3717</v>
      </c>
      <c r="AR69" s="16"/>
      <c r="AS69" s="15"/>
      <c r="AT69" s="15"/>
      <c r="AU69" s="15"/>
      <c r="AV69" s="14" t="s">
        <v>301</v>
      </c>
      <c r="AW69" s="14"/>
      <c r="AX69" s="14"/>
      <c r="AY69" s="16" t="str">
        <f>AV35</f>
        <v/>
      </c>
      <c r="AZ69" s="16" t="str">
        <f>AW35</f>
        <v/>
      </c>
      <c r="BA69" s="22"/>
      <c r="BB69" s="11"/>
      <c r="BS69" s="108" t="s">
        <v>3791</v>
      </c>
      <c r="BT69" s="108">
        <f ca="1">24+BT45</f>
        <v>25.842666288382656</v>
      </c>
      <c r="CE69" s="108" t="s">
        <v>3637</v>
      </c>
      <c r="CF69" s="108">
        <f>IF(CF68=2,CF46,CF23)</f>
        <v>2</v>
      </c>
      <c r="CL69" s="108" t="s">
        <v>3635</v>
      </c>
      <c r="CM69" s="108">
        <f>CM68-CM64</f>
        <v>-5.0822673075074345</v>
      </c>
      <c r="DD69" s="108" t="s">
        <v>3973</v>
      </c>
      <c r="DE69" s="108">
        <f ca="1">DE21</f>
        <v>11.868907184637903</v>
      </c>
      <c r="DI69" s="108">
        <f ca="1">DI65</f>
        <v>10</v>
      </c>
      <c r="DM69" s="108">
        <v>80</v>
      </c>
      <c r="DN69" s="108">
        <f t="shared" ref="DN69:DN76" ca="1" si="43">IF(DN68&lt;DM69,DN68,-1)</f>
        <v>10.157333711617344</v>
      </c>
      <c r="DO69" s="108">
        <f t="shared" ref="DO69:DO76" ca="1" si="44">IF(DN69=-1,10,0)</f>
        <v>0</v>
      </c>
      <c r="DQ69" s="108">
        <v>8</v>
      </c>
      <c r="DR69" s="108">
        <f t="shared" ref="DR69:DR76" ca="1" si="45">IF(DR68&lt;DQ69,DR68,-1)</f>
        <v>-1</v>
      </c>
      <c r="DS69" s="108">
        <f t="shared" ref="DS69:DS76" ca="1" si="46">IF(DR69=-1,1,0)</f>
        <v>1</v>
      </c>
      <c r="DU69" s="108">
        <f ca="1">DU65</f>
        <v>11</v>
      </c>
      <c r="DY69" s="108">
        <v>80</v>
      </c>
      <c r="DZ69" s="108">
        <f t="shared" ref="DZ69:DZ76" ca="1" si="47">IF(DZ68&lt;DY69,DZ68,-1)</f>
        <v>11.868907184637903</v>
      </c>
      <c r="EA69" s="108">
        <f t="shared" ref="EA69:EA76" ca="1" si="48">IF(DZ69=-1,10,0)</f>
        <v>0</v>
      </c>
      <c r="EC69" s="108">
        <v>8</v>
      </c>
      <c r="ED69" s="108">
        <f t="shared" ref="ED69:ED76" ca="1" si="49">IF(ED68&lt;EC69,ED68,-1)</f>
        <v>2.1344310782741971</v>
      </c>
      <c r="EE69" s="108">
        <f t="shared" ref="EE69:EE76" ca="1" si="50">IF(ED69=-1,1,0)</f>
        <v>0</v>
      </c>
    </row>
    <row r="70" spans="1:135">
      <c r="A70" s="108">
        <v>63</v>
      </c>
      <c r="B70" s="108" t="str">
        <f t="shared" ref="B70:B133" si="51">IF(B69=F70,A70,B69)</f>
        <v>α leo</v>
      </c>
      <c r="C70" s="108">
        <f t="shared" ref="C70:C133" si="52" xml:space="preserve"> IF(C69=F70,A70,C69)</f>
        <v>0</v>
      </c>
      <c r="F70" s="108" t="s">
        <v>598</v>
      </c>
      <c r="G70" s="108">
        <v>1</v>
      </c>
      <c r="H70" s="108">
        <v>37</v>
      </c>
      <c r="I70" s="108">
        <v>59.6</v>
      </c>
      <c r="J70" s="108">
        <v>48</v>
      </c>
      <c r="K70" s="108">
        <v>37</v>
      </c>
      <c r="L70" s="108">
        <v>42</v>
      </c>
      <c r="M70" s="108" t="s">
        <v>599</v>
      </c>
      <c r="N70" s="108" t="s">
        <v>600</v>
      </c>
      <c r="R70" s="108" t="s">
        <v>601</v>
      </c>
      <c r="S70" s="108" t="s">
        <v>602</v>
      </c>
      <c r="T70" s="108" t="str">
        <f t="shared" si="33"/>
        <v>α</v>
      </c>
      <c r="U70" s="108" t="str">
        <f t="shared" si="34"/>
        <v/>
      </c>
      <c r="X70" s="108" t="s">
        <v>603</v>
      </c>
      <c r="Y70" s="108" t="s">
        <v>604</v>
      </c>
      <c r="AA70" s="108" t="s">
        <v>426</v>
      </c>
      <c r="AB70" s="108" t="s">
        <v>605</v>
      </c>
      <c r="AC70" s="108" t="s">
        <v>606</v>
      </c>
      <c r="AD70" s="108" t="s">
        <v>435</v>
      </c>
      <c r="AE70" s="108" t="s">
        <v>607</v>
      </c>
      <c r="AI70" s="109" t="s">
        <v>441</v>
      </c>
      <c r="AO70" s="11"/>
      <c r="AP70" s="23"/>
      <c r="AQ70" s="14" t="s">
        <v>3451</v>
      </c>
      <c r="AR70" s="15"/>
      <c r="AS70" s="16"/>
      <c r="AT70" s="15"/>
      <c r="AU70" s="15"/>
      <c r="AV70" s="14">
        <f ca="1">AY14</f>
        <v>10</v>
      </c>
      <c r="AW70" s="14">
        <f ca="1">AY15</f>
        <v>9</v>
      </c>
      <c r="AX70" s="14">
        <f ca="1">AY16</f>
        <v>26.401361822438787</v>
      </c>
      <c r="AY70" s="16" t="str">
        <f>AV36</f>
        <v/>
      </c>
      <c r="AZ70" s="16" t="str">
        <f>AW36</f>
        <v/>
      </c>
      <c r="BA70" s="22"/>
      <c r="BB70" s="20"/>
      <c r="BM70" s="109" t="s">
        <v>3790</v>
      </c>
      <c r="BN70" s="109">
        <v>2</v>
      </c>
      <c r="BS70" s="108" t="s">
        <v>3780</v>
      </c>
      <c r="BT70" s="108">
        <f ca="1">BT45</f>
        <v>1.8426662883826563</v>
      </c>
      <c r="CL70" s="108" t="s">
        <v>3636</v>
      </c>
      <c r="CM70" s="108">
        <f>IF(CM69&lt;0,2,1)</f>
        <v>2</v>
      </c>
      <c r="DD70" s="108" t="s">
        <v>3974</v>
      </c>
      <c r="DE70" s="108">
        <f ca="1">DE22</f>
        <v>131.43996590843588</v>
      </c>
      <c r="DI70" s="108">
        <f ca="1">IF(DI69&lt;0,DS82,DI66)</f>
        <v>9</v>
      </c>
      <c r="DM70" s="108">
        <v>70</v>
      </c>
      <c r="DN70" s="108">
        <f t="shared" ca="1" si="43"/>
        <v>10.157333711617344</v>
      </c>
      <c r="DO70" s="108">
        <f t="shared" ca="1" si="44"/>
        <v>0</v>
      </c>
      <c r="DQ70" s="108">
        <v>7</v>
      </c>
      <c r="DR70" s="108">
        <f t="shared" ca="1" si="45"/>
        <v>-1</v>
      </c>
      <c r="DS70" s="108">
        <f t="shared" ca="1" si="46"/>
        <v>1</v>
      </c>
      <c r="DU70" s="108">
        <f ca="1">IF(DU69&lt;0,EE82,DU66)</f>
        <v>52</v>
      </c>
      <c r="DY70" s="108">
        <v>70</v>
      </c>
      <c r="DZ70" s="108">
        <f t="shared" ca="1" si="47"/>
        <v>11.868907184637903</v>
      </c>
      <c r="EA70" s="108">
        <f t="shared" ca="1" si="48"/>
        <v>0</v>
      </c>
      <c r="EC70" s="108">
        <v>7</v>
      </c>
      <c r="ED70" s="108">
        <f t="shared" ca="1" si="49"/>
        <v>2.1344310782741971</v>
      </c>
      <c r="EE70" s="108">
        <f t="shared" ca="1" si="50"/>
        <v>0</v>
      </c>
    </row>
    <row r="71" spans="1:135" ht="16.5">
      <c r="A71" s="108">
        <v>64</v>
      </c>
      <c r="B71" s="108" t="str">
        <f t="shared" si="51"/>
        <v>α leo</v>
      </c>
      <c r="C71" s="108">
        <f t="shared" si="52"/>
        <v>0</v>
      </c>
      <c r="F71" s="108" t="s">
        <v>608</v>
      </c>
      <c r="G71" s="108">
        <v>0</v>
      </c>
      <c r="H71" s="108">
        <v>8</v>
      </c>
      <c r="I71" s="108">
        <v>23.3</v>
      </c>
      <c r="J71" s="108">
        <v>29</v>
      </c>
      <c r="K71" s="108">
        <v>5</v>
      </c>
      <c r="L71" s="108">
        <v>26</v>
      </c>
      <c r="M71" s="108" t="s">
        <v>609</v>
      </c>
      <c r="N71" s="108" t="s">
        <v>610</v>
      </c>
      <c r="R71" s="108" t="s">
        <v>611</v>
      </c>
      <c r="S71" s="108" t="s">
        <v>602</v>
      </c>
      <c r="T71" s="108" t="str">
        <f t="shared" si="33"/>
        <v>α</v>
      </c>
      <c r="U71" s="108" t="str">
        <f t="shared" si="34"/>
        <v/>
      </c>
      <c r="X71" s="108" t="s">
        <v>612</v>
      </c>
      <c r="Y71" s="108" t="s">
        <v>604</v>
      </c>
      <c r="AA71" s="108" t="s">
        <v>268</v>
      </c>
      <c r="AB71" s="108" t="s">
        <v>613</v>
      </c>
      <c r="AC71" s="108" t="s">
        <v>614</v>
      </c>
      <c r="AD71" s="108" t="s">
        <v>295</v>
      </c>
      <c r="AE71" s="108" t="s">
        <v>615</v>
      </c>
      <c r="AJ71" s="108" t="str">
        <f>IF(AJ66=0,AJ65,AJ66)</f>
        <v/>
      </c>
      <c r="AO71" s="11"/>
      <c r="AP71" s="23"/>
      <c r="AQ71" s="14" t="s">
        <v>3452</v>
      </c>
      <c r="AR71" s="15"/>
      <c r="AS71" s="16"/>
      <c r="AT71" s="15"/>
      <c r="AU71" s="15"/>
      <c r="AV71" s="14" t="s">
        <v>3450</v>
      </c>
      <c r="AW71" s="14"/>
      <c r="AX71" s="14"/>
      <c r="AY71" s="16" t="str">
        <f>AV37</f>
        <v/>
      </c>
      <c r="AZ71" s="16" t="str">
        <f>AW37</f>
        <v/>
      </c>
      <c r="BA71" s="22"/>
      <c r="BB71" s="11"/>
      <c r="BM71" s="108" t="s">
        <v>3975</v>
      </c>
      <c r="BN71" s="109">
        <f ca="1">180-BN52</f>
        <v>149.82901271930717</v>
      </c>
      <c r="BS71" s="108" t="s">
        <v>3792</v>
      </c>
      <c r="BT71" s="108">
        <f ca="1" xml:space="preserve"> IF(BT69&gt;0,BT70,BT69)</f>
        <v>1.8426662883826563</v>
      </c>
      <c r="CE71" s="109" t="s">
        <v>3639</v>
      </c>
      <c r="CL71" s="108" t="s">
        <v>3638</v>
      </c>
      <c r="CM71" s="108">
        <f>CM69+24</f>
        <v>18.917732692492564</v>
      </c>
      <c r="DI71" s="108">
        <f ca="1">IF(DI65&lt;0,DS83,DI67)</f>
        <v>26.401361822438787</v>
      </c>
      <c r="DJ71" s="108" t="s">
        <v>3806</v>
      </c>
      <c r="DK71" s="108">
        <f>BE29+BI29</f>
        <v>22.106749999999998</v>
      </c>
      <c r="DM71" s="108">
        <v>60</v>
      </c>
      <c r="DN71" s="108">
        <f t="shared" ca="1" si="43"/>
        <v>10.157333711617344</v>
      </c>
      <c r="DO71" s="108">
        <f t="shared" ca="1" si="44"/>
        <v>0</v>
      </c>
      <c r="DQ71" s="108">
        <v>6</v>
      </c>
      <c r="DR71" s="108">
        <f t="shared" ca="1" si="45"/>
        <v>-1</v>
      </c>
      <c r="DS71" s="108">
        <f t="shared" ca="1" si="46"/>
        <v>1</v>
      </c>
      <c r="DU71" s="108">
        <f ca="1">IF(DU65&lt;0,EE83,DU67)</f>
        <v>8.0658646964518255</v>
      </c>
      <c r="DV71" s="108" t="s">
        <v>3806</v>
      </c>
      <c r="DW71" s="108">
        <f>DK71</f>
        <v>22.106749999999998</v>
      </c>
      <c r="DY71" s="108">
        <v>60</v>
      </c>
      <c r="DZ71" s="108">
        <f t="shared" ca="1" si="47"/>
        <v>11.868907184637903</v>
      </c>
      <c r="EA71" s="108">
        <f t="shared" ca="1" si="48"/>
        <v>0</v>
      </c>
      <c r="EC71" s="108">
        <v>6</v>
      </c>
      <c r="ED71" s="108">
        <f t="shared" ca="1" si="49"/>
        <v>2.1344310782741971</v>
      </c>
      <c r="EE71" s="108">
        <f t="shared" ca="1" si="50"/>
        <v>0</v>
      </c>
    </row>
    <row r="72" spans="1:135" ht="18.75">
      <c r="A72" s="108">
        <v>65</v>
      </c>
      <c r="B72" s="108" t="str">
        <f t="shared" si="51"/>
        <v>α leo</v>
      </c>
      <c r="C72" s="108">
        <f t="shared" si="52"/>
        <v>0</v>
      </c>
      <c r="F72" s="108" t="s">
        <v>616</v>
      </c>
      <c r="G72" s="108">
        <v>1</v>
      </c>
      <c r="H72" s="108">
        <v>9</v>
      </c>
      <c r="I72" s="108">
        <v>43.9</v>
      </c>
      <c r="J72" s="108">
        <v>35</v>
      </c>
      <c r="K72" s="108">
        <v>37</v>
      </c>
      <c r="L72" s="108">
        <v>14</v>
      </c>
      <c r="M72" s="108" t="s">
        <v>617</v>
      </c>
      <c r="N72" s="108" t="s">
        <v>618</v>
      </c>
      <c r="R72" s="108" t="s">
        <v>619</v>
      </c>
      <c r="S72" s="108" t="s">
        <v>602</v>
      </c>
      <c r="T72" s="108" t="str">
        <f t="shared" si="33"/>
        <v>α</v>
      </c>
      <c r="U72" s="108" t="str">
        <f t="shared" si="34"/>
        <v/>
      </c>
      <c r="X72" s="108" t="s">
        <v>620</v>
      </c>
      <c r="Y72" s="108" t="s">
        <v>604</v>
      </c>
      <c r="AA72" s="108" t="s">
        <v>621</v>
      </c>
      <c r="AB72" s="108" t="s">
        <v>622</v>
      </c>
      <c r="AC72" s="108" t="s">
        <v>623</v>
      </c>
      <c r="AD72" s="108" t="s">
        <v>624</v>
      </c>
      <c r="AE72" s="108" t="s">
        <v>625</v>
      </c>
      <c r="AJ72" s="108" t="str">
        <f ca="1">IF(AJ69=0,AJ68,AJ69)</f>
        <v/>
      </c>
      <c r="AO72" s="11"/>
      <c r="AP72" s="23"/>
      <c r="AQ72" s="15"/>
      <c r="AR72" s="49">
        <f>Φύλλο2!AI124</f>
        <v>0</v>
      </c>
      <c r="AS72" s="14" t="s">
        <v>3456</v>
      </c>
      <c r="AT72" s="62" t="str">
        <f>AS46</f>
        <v/>
      </c>
      <c r="AU72" s="15"/>
      <c r="AV72" s="14">
        <f ca="1">AY18</f>
        <v>11</v>
      </c>
      <c r="AW72" s="14">
        <f ca="1">AY19</f>
        <v>52</v>
      </c>
      <c r="AX72" s="14">
        <f ca="1">AY20</f>
        <v>8.0658646964518255</v>
      </c>
      <c r="AY72" s="16" t="str">
        <f>AV39</f>
        <v/>
      </c>
      <c r="AZ72" s="16"/>
      <c r="BA72" s="22"/>
      <c r="BB72" s="11"/>
      <c r="BS72" s="108" t="s">
        <v>3794</v>
      </c>
      <c r="BT72" s="108">
        <f ca="1">IF(BT71&lt;0,BT69,BT71)</f>
        <v>1.8426662883826563</v>
      </c>
      <c r="CE72" s="108" t="s">
        <v>3502</v>
      </c>
      <c r="CF72" s="108">
        <f>CF22</f>
        <v>2020</v>
      </c>
      <c r="CL72" s="108" t="s">
        <v>3976</v>
      </c>
      <c r="CM72" s="108">
        <f>IF(CM70=2,CM71,CM69)</f>
        <v>18.917732692492564</v>
      </c>
      <c r="DD72" s="109" t="s">
        <v>3977</v>
      </c>
      <c r="DM72" s="108">
        <v>50</v>
      </c>
      <c r="DN72" s="108">
        <f t="shared" ca="1" si="43"/>
        <v>10.157333711617344</v>
      </c>
      <c r="DO72" s="108">
        <f t="shared" ca="1" si="44"/>
        <v>0</v>
      </c>
      <c r="DQ72" s="108">
        <v>5</v>
      </c>
      <c r="DR72" s="108">
        <f t="shared" ca="1" si="45"/>
        <v>-1</v>
      </c>
      <c r="DS72" s="108">
        <f t="shared" ca="1" si="46"/>
        <v>1</v>
      </c>
      <c r="DY72" s="108">
        <v>50</v>
      </c>
      <c r="DZ72" s="108">
        <f t="shared" ca="1" si="47"/>
        <v>11.868907184637903</v>
      </c>
      <c r="EA72" s="108">
        <f t="shared" ca="1" si="48"/>
        <v>0</v>
      </c>
      <c r="EC72" s="108">
        <v>5</v>
      </c>
      <c r="ED72" s="108">
        <f t="shared" ca="1" si="49"/>
        <v>2.1344310782741971</v>
      </c>
      <c r="EE72" s="108">
        <f t="shared" ca="1" si="50"/>
        <v>0</v>
      </c>
    </row>
    <row r="73" spans="1:135">
      <c r="A73" s="108">
        <v>66</v>
      </c>
      <c r="B73" s="108" t="str">
        <f t="shared" si="51"/>
        <v>α leo</v>
      </c>
      <c r="C73" s="108">
        <f t="shared" si="52"/>
        <v>0</v>
      </c>
      <c r="F73" s="108" t="s">
        <v>626</v>
      </c>
      <c r="G73" s="108">
        <v>2</v>
      </c>
      <c r="H73" s="108">
        <v>3</v>
      </c>
      <c r="I73" s="108">
        <v>54</v>
      </c>
      <c r="J73" s="108">
        <v>42</v>
      </c>
      <c r="K73" s="108">
        <v>19</v>
      </c>
      <c r="L73" s="108">
        <v>47</v>
      </c>
      <c r="M73" s="108" t="s">
        <v>627</v>
      </c>
      <c r="N73" s="108" t="s">
        <v>628</v>
      </c>
      <c r="R73" s="108" t="s">
        <v>629</v>
      </c>
      <c r="S73" s="108" t="s">
        <v>630</v>
      </c>
      <c r="T73" s="108" t="str">
        <f t="shared" si="33"/>
        <v>α</v>
      </c>
      <c r="U73" s="108" t="str">
        <f t="shared" si="34"/>
        <v/>
      </c>
      <c r="X73" s="108" t="s">
        <v>631</v>
      </c>
      <c r="Y73" s="108" t="s">
        <v>604</v>
      </c>
      <c r="AA73" s="108" t="s">
        <v>604</v>
      </c>
      <c r="AB73" s="108" t="s">
        <v>632</v>
      </c>
      <c r="AC73" s="108" t="s">
        <v>633</v>
      </c>
      <c r="AD73" s="108" t="s">
        <v>631</v>
      </c>
      <c r="AE73" s="108" t="s">
        <v>634</v>
      </c>
      <c r="AO73" s="11"/>
      <c r="AP73" s="23"/>
      <c r="AQ73" s="15"/>
      <c r="AR73" s="14" t="s">
        <v>3449</v>
      </c>
      <c r="AS73" s="14" t="s">
        <v>3458</v>
      </c>
      <c r="AT73" s="13" t="str">
        <f>AS47</f>
        <v/>
      </c>
      <c r="AU73" s="15"/>
      <c r="AV73" s="17" t="s">
        <v>3446</v>
      </c>
      <c r="AW73" s="14"/>
      <c r="AX73" s="17" t="s">
        <v>3447</v>
      </c>
      <c r="AY73" s="16" t="str">
        <f>AV40</f>
        <v/>
      </c>
      <c r="AZ73" s="16" t="str">
        <f>AW40</f>
        <v/>
      </c>
      <c r="BA73" s="22"/>
      <c r="BB73" s="11"/>
      <c r="BM73" s="109" t="s">
        <v>3793</v>
      </c>
      <c r="BN73" s="109">
        <v>3</v>
      </c>
      <c r="CE73" s="108" t="s">
        <v>3503</v>
      </c>
      <c r="CF73" s="108">
        <f>IF(CF35=-1,CF69,CF23)</f>
        <v>2</v>
      </c>
      <c r="CL73" s="108" t="s">
        <v>3640</v>
      </c>
      <c r="CM73" s="108">
        <f>CM69*4/1440</f>
        <v>-1.4117409187520651E-2</v>
      </c>
      <c r="DD73" s="108" t="s">
        <v>3679</v>
      </c>
      <c r="DE73" s="108">
        <f ca="1">IF(DE69&lt;0,-1000,DE69)</f>
        <v>11.868907184637903</v>
      </c>
      <c r="DI73" s="109" t="s">
        <v>3807</v>
      </c>
      <c r="DM73" s="108">
        <v>40</v>
      </c>
      <c r="DN73" s="108">
        <f t="shared" ca="1" si="43"/>
        <v>10.157333711617344</v>
      </c>
      <c r="DO73" s="108">
        <f t="shared" ca="1" si="44"/>
        <v>0</v>
      </c>
      <c r="DQ73" s="108">
        <v>4</v>
      </c>
      <c r="DR73" s="108">
        <f t="shared" ca="1" si="45"/>
        <v>-1</v>
      </c>
      <c r="DS73" s="108">
        <f t="shared" ca="1" si="46"/>
        <v>1</v>
      </c>
      <c r="DU73" s="109" t="s">
        <v>3807</v>
      </c>
      <c r="DY73" s="108">
        <v>40</v>
      </c>
      <c r="DZ73" s="108">
        <f t="shared" ca="1" si="47"/>
        <v>11.868907184637903</v>
      </c>
      <c r="EA73" s="108">
        <f t="shared" ca="1" si="48"/>
        <v>0</v>
      </c>
      <c r="EC73" s="108">
        <v>4</v>
      </c>
      <c r="ED73" s="108">
        <f t="shared" ca="1" si="49"/>
        <v>2.1344310782741971</v>
      </c>
      <c r="EE73" s="108">
        <f t="shared" ca="1" si="50"/>
        <v>0</v>
      </c>
    </row>
    <row r="74" spans="1:135" ht="16.5">
      <c r="A74" s="108">
        <v>67</v>
      </c>
      <c r="B74" s="108" t="str">
        <f t="shared" si="51"/>
        <v>α leo</v>
      </c>
      <c r="C74" s="108">
        <f t="shared" si="52"/>
        <v>0</v>
      </c>
      <c r="F74" s="108" t="s">
        <v>635</v>
      </c>
      <c r="G74" s="108">
        <v>0</v>
      </c>
      <c r="H74" s="108">
        <v>39</v>
      </c>
      <c r="I74" s="108">
        <v>19.7</v>
      </c>
      <c r="J74" s="108">
        <v>30</v>
      </c>
      <c r="K74" s="108">
        <v>51</v>
      </c>
      <c r="L74" s="108">
        <v>40</v>
      </c>
      <c r="M74" s="108" t="s">
        <v>636</v>
      </c>
      <c r="N74" s="108" t="s">
        <v>637</v>
      </c>
      <c r="R74" s="108" t="s">
        <v>638</v>
      </c>
      <c r="S74" s="108" t="s">
        <v>630</v>
      </c>
      <c r="T74" s="108" t="str">
        <f t="shared" si="33"/>
        <v>α</v>
      </c>
      <c r="U74" s="108" t="str">
        <f t="shared" si="34"/>
        <v/>
      </c>
      <c r="X74" s="108" t="s">
        <v>639</v>
      </c>
      <c r="Y74" s="108" t="s">
        <v>416</v>
      </c>
      <c r="AA74" s="108" t="s">
        <v>640</v>
      </c>
      <c r="AB74" s="108" t="s">
        <v>99</v>
      </c>
      <c r="AC74" s="108" t="s">
        <v>641</v>
      </c>
      <c r="AD74" s="108" t="s">
        <v>642</v>
      </c>
      <c r="AE74" s="108" t="s">
        <v>643</v>
      </c>
      <c r="AJ74" s="108">
        <f>1201-B1209</f>
        <v>833</v>
      </c>
      <c r="AO74" s="11"/>
      <c r="AP74" s="68"/>
      <c r="AQ74" s="16" t="str">
        <f>AJ31</f>
        <v/>
      </c>
      <c r="AR74" s="15"/>
      <c r="AS74" s="14" t="s">
        <v>3457</v>
      </c>
      <c r="AT74" s="13" t="str">
        <f>AS48</f>
        <v/>
      </c>
      <c r="AU74" s="24"/>
      <c r="AV74" s="46">
        <f ca="1">DE14</f>
        <v>307.06074194237732</v>
      </c>
      <c r="AW74" s="14"/>
      <c r="AX74" s="46">
        <f ca="1">DE16</f>
        <v>-23.17166833781301</v>
      </c>
      <c r="AY74" s="16" t="str">
        <f>AV41</f>
        <v/>
      </c>
      <c r="AZ74" s="16" t="str">
        <f>AW41</f>
        <v/>
      </c>
      <c r="BA74" s="22"/>
      <c r="BB74" s="11"/>
      <c r="BM74" s="108" t="s">
        <v>3975</v>
      </c>
      <c r="BN74" s="109">
        <f ca="1">BN71</f>
        <v>149.82901271930717</v>
      </c>
      <c r="CE74" s="108" t="s">
        <v>3504</v>
      </c>
      <c r="CF74" s="108">
        <f>IF(CF35=-1,CF62,CF24)</f>
        <v>2</v>
      </c>
      <c r="CG74" s="108" t="s">
        <v>3503</v>
      </c>
      <c r="CL74" s="108" t="s">
        <v>3641</v>
      </c>
      <c r="CM74" s="108">
        <f>CM73+CM72</f>
        <v>18.903615283305044</v>
      </c>
      <c r="DD74" s="108" t="s">
        <v>3978</v>
      </c>
      <c r="DE74" s="109">
        <f ca="1">IF(DE73&lt;DE68,0,1)</f>
        <v>0</v>
      </c>
      <c r="DI74" s="108">
        <f ca="1">IF(DK74=0,"",DI69)</f>
        <v>10</v>
      </c>
      <c r="DJ74" s="108" t="s">
        <v>3808</v>
      </c>
      <c r="DK74" s="108">
        <f>DK71</f>
        <v>22.106749999999998</v>
      </c>
      <c r="DM74" s="108">
        <v>30</v>
      </c>
      <c r="DN74" s="108">
        <f t="shared" ca="1" si="43"/>
        <v>10.157333711617344</v>
      </c>
      <c r="DO74" s="108">
        <f t="shared" ca="1" si="44"/>
        <v>0</v>
      </c>
      <c r="DQ74" s="108">
        <v>3</v>
      </c>
      <c r="DR74" s="108">
        <f t="shared" ca="1" si="45"/>
        <v>-1</v>
      </c>
      <c r="DS74" s="108">
        <f t="shared" ca="1" si="46"/>
        <v>1</v>
      </c>
      <c r="DU74" s="108">
        <f ca="1">IF(DW74=0,"",DU69)</f>
        <v>11</v>
      </c>
      <c r="DV74" s="108" t="s">
        <v>3808</v>
      </c>
      <c r="DW74" s="108">
        <f>DW71</f>
        <v>22.106749999999998</v>
      </c>
      <c r="DY74" s="108">
        <v>30</v>
      </c>
      <c r="DZ74" s="108">
        <f t="shared" ca="1" si="47"/>
        <v>11.868907184637903</v>
      </c>
      <c r="EA74" s="108">
        <f t="shared" ca="1" si="48"/>
        <v>0</v>
      </c>
      <c r="EC74" s="108">
        <v>3</v>
      </c>
      <c r="ED74" s="108">
        <f t="shared" ca="1" si="49"/>
        <v>2.1344310782741971</v>
      </c>
      <c r="EE74" s="108">
        <f t="shared" ca="1" si="50"/>
        <v>0</v>
      </c>
    </row>
    <row r="75" spans="1:135">
      <c r="A75" s="108">
        <v>68</v>
      </c>
      <c r="B75" s="108" t="str">
        <f t="shared" si="51"/>
        <v>α leo</v>
      </c>
      <c r="C75" s="108">
        <f t="shared" si="52"/>
        <v>0</v>
      </c>
      <c r="F75" s="108" t="s">
        <v>644</v>
      </c>
      <c r="G75" s="108">
        <v>23</v>
      </c>
      <c r="H75" s="108">
        <v>38</v>
      </c>
      <c r="I75" s="108">
        <v>8.1999999999999993</v>
      </c>
      <c r="J75" s="108">
        <v>43</v>
      </c>
      <c r="K75" s="108">
        <v>16</v>
      </c>
      <c r="L75" s="108">
        <v>5</v>
      </c>
      <c r="M75" s="108" t="s">
        <v>645</v>
      </c>
      <c r="N75" s="108" t="s">
        <v>646</v>
      </c>
      <c r="R75" s="108" t="s">
        <v>647</v>
      </c>
      <c r="S75" s="108" t="s">
        <v>630</v>
      </c>
      <c r="T75" s="108" t="str">
        <f t="shared" si="33"/>
        <v>α</v>
      </c>
      <c r="U75" s="108" t="str">
        <f t="shared" si="34"/>
        <v/>
      </c>
      <c r="X75" s="108" t="s">
        <v>418</v>
      </c>
      <c r="Y75" s="108" t="s">
        <v>416</v>
      </c>
      <c r="AA75" s="108" t="s">
        <v>648</v>
      </c>
      <c r="AB75" s="108" t="s">
        <v>649</v>
      </c>
      <c r="AC75" s="108" t="s">
        <v>650</v>
      </c>
      <c r="AD75" s="108" t="s">
        <v>651</v>
      </c>
      <c r="AE75" s="108" t="s">
        <v>652</v>
      </c>
      <c r="AI75" s="108" t="s">
        <v>653</v>
      </c>
      <c r="AJ75" s="108" t="str">
        <f>IF(B5=0,AJ74,"")</f>
        <v/>
      </c>
      <c r="AO75" s="11"/>
      <c r="AP75" s="23"/>
      <c r="AQ75" s="16" t="str">
        <f>AJ30</f>
        <v/>
      </c>
      <c r="AR75" s="15"/>
      <c r="AS75" s="14"/>
      <c r="AT75" s="14"/>
      <c r="AU75" s="63" t="str">
        <f ca="1">DE17</f>
        <v>Είναι κάτω από τον ορίζοντα!!!</v>
      </c>
      <c r="AV75" s="24"/>
      <c r="AW75" s="14"/>
      <c r="AX75" s="17"/>
      <c r="AY75" s="16" t="str">
        <f>AV42</f>
        <v/>
      </c>
      <c r="AZ75" s="16" t="str">
        <f>AW42</f>
        <v/>
      </c>
      <c r="BA75" s="22"/>
      <c r="BB75" s="11"/>
      <c r="BS75" s="109" t="s">
        <v>3979</v>
      </c>
      <c r="CE75" s="108" t="s">
        <v>3505</v>
      </c>
      <c r="CF75" s="108">
        <f>IF(CF35=-1,CF51,CF25)</f>
        <v>10</v>
      </c>
      <c r="CG75" s="108" t="s">
        <v>3504</v>
      </c>
      <c r="CL75" s="108" t="s">
        <v>3642</v>
      </c>
      <c r="CM75" s="108">
        <f>CM74</f>
        <v>18.903615283305044</v>
      </c>
      <c r="DD75" s="108" t="s">
        <v>3980</v>
      </c>
      <c r="DE75" s="108">
        <f ca="1">IF(DE74=1,DE61,0)</f>
        <v>0</v>
      </c>
      <c r="DI75" s="108">
        <f t="shared" ref="DI75:DI76" ca="1" si="53">IF(DK75=0,"",DI70)</f>
        <v>9</v>
      </c>
      <c r="DK75" s="108">
        <f>DK71</f>
        <v>22.106749999999998</v>
      </c>
      <c r="DM75" s="108">
        <v>20</v>
      </c>
      <c r="DN75" s="108">
        <f t="shared" ca="1" si="43"/>
        <v>10.157333711617344</v>
      </c>
      <c r="DO75" s="108">
        <f t="shared" ca="1" si="44"/>
        <v>0</v>
      </c>
      <c r="DQ75" s="108">
        <v>2</v>
      </c>
      <c r="DR75" s="108">
        <f t="shared" ca="1" si="45"/>
        <v>-1</v>
      </c>
      <c r="DS75" s="108">
        <f t="shared" ca="1" si="46"/>
        <v>1</v>
      </c>
      <c r="DU75" s="108">
        <f t="shared" ref="DU75:DU76" ca="1" si="54">IF(DW75=0,"",DU70)</f>
        <v>52</v>
      </c>
      <c r="DW75" s="108">
        <f>DW71</f>
        <v>22.106749999999998</v>
      </c>
      <c r="DY75" s="108">
        <v>20</v>
      </c>
      <c r="DZ75" s="108">
        <f t="shared" ca="1" si="47"/>
        <v>11.868907184637903</v>
      </c>
      <c r="EA75" s="108">
        <f t="shared" ca="1" si="48"/>
        <v>0</v>
      </c>
      <c r="EC75" s="108">
        <v>2</v>
      </c>
      <c r="ED75" s="108">
        <f t="shared" ca="1" si="49"/>
        <v>-1</v>
      </c>
      <c r="EE75" s="108">
        <f t="shared" ca="1" si="50"/>
        <v>1</v>
      </c>
    </row>
    <row r="76" spans="1:135">
      <c r="A76" s="108">
        <v>69</v>
      </c>
      <c r="B76" s="108" t="str">
        <f t="shared" si="51"/>
        <v>α leo</v>
      </c>
      <c r="C76" s="108">
        <f t="shared" si="52"/>
        <v>0</v>
      </c>
      <c r="F76" s="108" t="s">
        <v>654</v>
      </c>
      <c r="G76" s="108">
        <v>23</v>
      </c>
      <c r="H76" s="108">
        <v>40</v>
      </c>
      <c r="I76" s="108">
        <v>24.5</v>
      </c>
      <c r="J76" s="108">
        <v>44</v>
      </c>
      <c r="K76" s="108">
        <v>20</v>
      </c>
      <c r="L76" s="108">
        <v>2</v>
      </c>
      <c r="M76" s="108" t="s">
        <v>655</v>
      </c>
      <c r="N76" s="108" t="s">
        <v>656</v>
      </c>
      <c r="R76" s="108" t="s">
        <v>657</v>
      </c>
      <c r="S76" s="108" t="s">
        <v>658</v>
      </c>
      <c r="T76" s="108" t="str">
        <f t="shared" si="33"/>
        <v>α</v>
      </c>
      <c r="U76" s="108" t="str">
        <f t="shared" si="34"/>
        <v/>
      </c>
      <c r="X76" s="108" t="s">
        <v>659</v>
      </c>
      <c r="Y76" s="108" t="s">
        <v>98</v>
      </c>
      <c r="AA76" s="108" t="s">
        <v>321</v>
      </c>
      <c r="AB76" s="108" t="s">
        <v>660</v>
      </c>
      <c r="AC76" s="108" t="s">
        <v>319</v>
      </c>
      <c r="AD76" s="108" t="s">
        <v>661</v>
      </c>
      <c r="AE76" s="108" t="s">
        <v>662</v>
      </c>
      <c r="AI76" s="108" t="s">
        <v>663</v>
      </c>
      <c r="AJ76" s="108">
        <f>IF(B5&gt;0,B1209,"")</f>
        <v>368</v>
      </c>
      <c r="AO76" s="11"/>
      <c r="AP76" s="23"/>
      <c r="AQ76" s="15"/>
      <c r="AR76" s="15"/>
      <c r="AS76" s="25" t="s">
        <v>3459</v>
      </c>
      <c r="AT76" s="14"/>
      <c r="AU76" s="50" t="str">
        <f>Φύλλο2!AJ124</f>
        <v>α leo</v>
      </c>
      <c r="AV76" s="14" t="str">
        <f>AJ53</f>
        <v xml:space="preserve">α Λέοντος Βασιλίσκος. Διπλός </v>
      </c>
      <c r="AW76" s="15"/>
      <c r="AX76" s="15"/>
      <c r="AY76" s="15"/>
      <c r="AZ76" s="15"/>
      <c r="BA76" s="22"/>
      <c r="BB76" s="11"/>
      <c r="BM76" s="109" t="s">
        <v>3795</v>
      </c>
      <c r="BN76" s="109">
        <v>4</v>
      </c>
      <c r="BS76" s="109" t="s">
        <v>3981</v>
      </c>
      <c r="BT76" s="109">
        <f ca="1">BT54</f>
        <v>2</v>
      </c>
      <c r="CE76" s="108" t="s">
        <v>14</v>
      </c>
      <c r="CF76" s="108">
        <f>CF26</f>
        <v>31</v>
      </c>
      <c r="CG76" s="108" t="s">
        <v>3505</v>
      </c>
      <c r="DD76" s="108" t="s">
        <v>3680</v>
      </c>
      <c r="DE76" s="108">
        <f ca="1">DE75*-1</f>
        <v>0</v>
      </c>
      <c r="DI76" s="108">
        <f t="shared" ca="1" si="53"/>
        <v>26.401361822438787</v>
      </c>
      <c r="DK76" s="108">
        <f>DK71</f>
        <v>22.106749999999998</v>
      </c>
      <c r="DM76" s="108">
        <v>10</v>
      </c>
      <c r="DN76" s="108">
        <f t="shared" ca="1" si="43"/>
        <v>-1</v>
      </c>
      <c r="DO76" s="108">
        <f t="shared" ca="1" si="44"/>
        <v>10</v>
      </c>
      <c r="DQ76" s="108">
        <v>1</v>
      </c>
      <c r="DR76" s="108">
        <f t="shared" ca="1" si="45"/>
        <v>-1</v>
      </c>
      <c r="DS76" s="108">
        <f t="shared" ca="1" si="46"/>
        <v>1</v>
      </c>
      <c r="DU76" s="108">
        <f t="shared" ca="1" si="54"/>
        <v>8.0658646964518255</v>
      </c>
      <c r="DW76" s="108">
        <f>DW71</f>
        <v>22.106749999999998</v>
      </c>
      <c r="DY76" s="108">
        <v>10</v>
      </c>
      <c r="DZ76" s="108">
        <f t="shared" ca="1" si="47"/>
        <v>-1</v>
      </c>
      <c r="EA76" s="108">
        <f t="shared" ca="1" si="48"/>
        <v>10</v>
      </c>
      <c r="EC76" s="108">
        <v>1</v>
      </c>
      <c r="ED76" s="108">
        <f t="shared" ca="1" si="49"/>
        <v>-1</v>
      </c>
      <c r="EE76" s="108">
        <f t="shared" ca="1" si="50"/>
        <v>1</v>
      </c>
    </row>
    <row r="77" spans="1:135" ht="16.5">
      <c r="A77" s="108">
        <v>70</v>
      </c>
      <c r="B77" s="108" t="str">
        <f t="shared" si="51"/>
        <v>α leo</v>
      </c>
      <c r="C77" s="108">
        <f t="shared" si="52"/>
        <v>0</v>
      </c>
      <c r="F77" s="108" t="s">
        <v>664</v>
      </c>
      <c r="G77" s="108">
        <v>23</v>
      </c>
      <c r="H77" s="108">
        <v>37</v>
      </c>
      <c r="I77" s="108">
        <v>33.799999999999997</v>
      </c>
      <c r="J77" s="108">
        <v>46</v>
      </c>
      <c r="K77" s="108">
        <v>27</v>
      </c>
      <c r="L77" s="108">
        <v>29</v>
      </c>
      <c r="M77" s="108" t="s">
        <v>665</v>
      </c>
      <c r="N77" s="108" t="s">
        <v>666</v>
      </c>
      <c r="R77" s="108" t="s">
        <v>667</v>
      </c>
      <c r="S77" s="108" t="s">
        <v>658</v>
      </c>
      <c r="T77" s="108" t="str">
        <f t="shared" si="33"/>
        <v>α</v>
      </c>
      <c r="U77" s="108" t="str">
        <f t="shared" si="34"/>
        <v/>
      </c>
      <c r="X77" s="108" t="s">
        <v>101</v>
      </c>
      <c r="Y77" s="108" t="s">
        <v>98</v>
      </c>
      <c r="AA77" s="108" t="s">
        <v>514</v>
      </c>
      <c r="AB77" s="108" t="s">
        <v>668</v>
      </c>
      <c r="AC77" s="108" t="s">
        <v>512</v>
      </c>
      <c r="AD77" s="108" t="s">
        <v>669</v>
      </c>
      <c r="AE77" s="108" t="s">
        <v>670</v>
      </c>
      <c r="AO77" s="11"/>
      <c r="AP77" s="23"/>
      <c r="AQ77" s="15"/>
      <c r="AR77" s="15"/>
      <c r="AS77" s="14" t="s">
        <v>3720</v>
      </c>
      <c r="AT77" s="14"/>
      <c r="AU77" s="14" t="s">
        <v>3448</v>
      </c>
      <c r="AV77" s="14" t="str">
        <f>AJ54</f>
        <v xml:space="preserve">α Leo. Διπλός Regulus </v>
      </c>
      <c r="AW77" s="15"/>
      <c r="AX77" s="15"/>
      <c r="AY77" s="15"/>
      <c r="AZ77" s="15"/>
      <c r="BA77" s="22"/>
      <c r="BB77" s="11"/>
      <c r="BM77" s="108" t="s">
        <v>3970</v>
      </c>
      <c r="BN77" s="108">
        <f ca="1">BN52+360</f>
        <v>390.17098728069283</v>
      </c>
      <c r="BS77" s="108">
        <v>1</v>
      </c>
      <c r="BT77" s="108">
        <f ca="1">BT60</f>
        <v>1.8426662883826563</v>
      </c>
      <c r="CE77" s="108" t="s">
        <v>3462</v>
      </c>
      <c r="CF77" s="108">
        <f>CF27</f>
        <v>32</v>
      </c>
      <c r="CL77" s="109" t="s">
        <v>3643</v>
      </c>
      <c r="DD77" s="108" t="s">
        <v>3681</v>
      </c>
      <c r="DE77" s="108">
        <f ca="1">360+DE76</f>
        <v>360</v>
      </c>
      <c r="DO77" s="108">
        <f ca="1">SUM(DO68:DO76)</f>
        <v>10</v>
      </c>
      <c r="DQ77" s="108" t="s">
        <v>3804</v>
      </c>
      <c r="DS77" s="108">
        <f ca="1">SUM(DS68:DS76)</f>
        <v>9</v>
      </c>
      <c r="EA77" s="108">
        <f ca="1">SUM(EA68:EA76)</f>
        <v>10</v>
      </c>
      <c r="EC77" s="108" t="s">
        <v>3804</v>
      </c>
      <c r="EE77" s="108">
        <f ca="1">SUM(EE68:EE76)</f>
        <v>2</v>
      </c>
    </row>
    <row r="78" spans="1:135">
      <c r="A78" s="108">
        <v>71</v>
      </c>
      <c r="B78" s="108" t="str">
        <f t="shared" si="51"/>
        <v>α leo</v>
      </c>
      <c r="C78" s="108">
        <f t="shared" si="52"/>
        <v>0</v>
      </c>
      <c r="F78" s="108" t="s">
        <v>671</v>
      </c>
      <c r="G78" s="108">
        <v>0</v>
      </c>
      <c r="H78" s="108">
        <v>56</v>
      </c>
      <c r="I78" s="108">
        <v>45.4</v>
      </c>
      <c r="J78" s="108">
        <v>38</v>
      </c>
      <c r="K78" s="108">
        <v>29</v>
      </c>
      <c r="L78" s="108">
        <v>58</v>
      </c>
      <c r="M78" s="108" t="s">
        <v>672</v>
      </c>
      <c r="N78" s="108" t="s">
        <v>673</v>
      </c>
      <c r="R78" s="108" t="s">
        <v>674</v>
      </c>
      <c r="S78" s="108" t="s">
        <v>675</v>
      </c>
      <c r="T78" s="108" t="str">
        <f t="shared" si="33"/>
        <v>α</v>
      </c>
      <c r="U78" s="108" t="str">
        <f t="shared" si="34"/>
        <v/>
      </c>
      <c r="X78" s="108" t="s">
        <v>676</v>
      </c>
      <c r="Y78" s="108" t="s">
        <v>360</v>
      </c>
      <c r="AA78" s="108" t="s">
        <v>677</v>
      </c>
      <c r="AB78" s="108" t="s">
        <v>85</v>
      </c>
      <c r="AC78" s="108" t="s">
        <v>678</v>
      </c>
      <c r="AD78" s="108" t="s">
        <v>679</v>
      </c>
      <c r="AE78" s="108" t="s">
        <v>680</v>
      </c>
      <c r="AJ78" s="108">
        <f>1201-C1209</f>
        <v>195</v>
      </c>
      <c r="AO78" s="11"/>
      <c r="AP78" s="23"/>
      <c r="AQ78" s="15"/>
      <c r="AR78" s="15"/>
      <c r="AS78" s="97" t="s">
        <v>3853</v>
      </c>
      <c r="AT78" s="14"/>
      <c r="AU78" s="14"/>
      <c r="AV78" s="60" t="str">
        <f>AW65</f>
        <v>Ώρα Ελλάδος</v>
      </c>
      <c r="AW78" s="15"/>
      <c r="AX78" s="15"/>
      <c r="AY78" s="15"/>
      <c r="AZ78" s="15"/>
      <c r="BA78" s="22"/>
      <c r="BB78" s="11"/>
      <c r="BN78" s="108">
        <f ca="1">BN52</f>
        <v>30.170987280692842</v>
      </c>
      <c r="BS78" s="108">
        <v>2</v>
      </c>
      <c r="BT78" s="108">
        <f ca="1">BT63</f>
        <v>10.157333711617344</v>
      </c>
      <c r="CE78" s="109" t="s">
        <v>3645</v>
      </c>
      <c r="CL78" s="108" t="s">
        <v>3982</v>
      </c>
      <c r="CM78" s="108">
        <f>CM26</f>
        <v>10.139527777777777</v>
      </c>
      <c r="DD78" s="108" t="s">
        <v>3682</v>
      </c>
      <c r="DO78" s="108">
        <f ca="1">DN67-DO77</f>
        <v>0.15733371161734411</v>
      </c>
      <c r="DQ78" s="108" t="s">
        <v>3809</v>
      </c>
      <c r="DS78" s="108">
        <f ca="1">DS77+DS65</f>
        <v>9</v>
      </c>
      <c r="EA78" s="108">
        <f ca="1">DZ67-EA77</f>
        <v>1.8689071846379033</v>
      </c>
      <c r="EC78" s="108" t="s">
        <v>3809</v>
      </c>
      <c r="EE78" s="108">
        <f ca="1">EE77+EE65</f>
        <v>52</v>
      </c>
    </row>
    <row r="79" spans="1:135">
      <c r="A79" s="108">
        <v>72</v>
      </c>
      <c r="B79" s="108" t="str">
        <f t="shared" si="51"/>
        <v>α leo</v>
      </c>
      <c r="C79" s="108">
        <f t="shared" si="52"/>
        <v>0</v>
      </c>
      <c r="F79" s="108" t="s">
        <v>681</v>
      </c>
      <c r="G79" s="108">
        <v>0</v>
      </c>
      <c r="H79" s="108">
        <v>49</v>
      </c>
      <c r="I79" s="108">
        <v>48.8</v>
      </c>
      <c r="J79" s="108">
        <v>41</v>
      </c>
      <c r="K79" s="108">
        <v>4</v>
      </c>
      <c r="L79" s="108">
        <v>44</v>
      </c>
      <c r="M79" s="108" t="s">
        <v>682</v>
      </c>
      <c r="N79" s="108" t="s">
        <v>683</v>
      </c>
      <c r="R79" s="108" t="s">
        <v>684</v>
      </c>
      <c r="S79" s="108" t="s">
        <v>675</v>
      </c>
      <c r="T79" s="108" t="str">
        <f t="shared" si="33"/>
        <v>α</v>
      </c>
      <c r="U79" s="108" t="str">
        <f t="shared" si="34"/>
        <v/>
      </c>
      <c r="X79" s="108" t="s">
        <v>363</v>
      </c>
      <c r="Y79" s="108" t="s">
        <v>360</v>
      </c>
      <c r="AA79" s="108" t="s">
        <v>685</v>
      </c>
      <c r="AB79" s="108" t="s">
        <v>686</v>
      </c>
      <c r="AC79" s="108" t="s">
        <v>687</v>
      </c>
      <c r="AD79" s="108" t="s">
        <v>688</v>
      </c>
      <c r="AE79" s="108" t="s">
        <v>689</v>
      </c>
      <c r="AI79" s="108" t="s">
        <v>690</v>
      </c>
      <c r="AJ79" s="108">
        <f>IF(C5=0,AJ78,"")</f>
        <v>195</v>
      </c>
      <c r="AO79" s="11"/>
      <c r="AP79" s="15"/>
      <c r="AQ79" s="15"/>
      <c r="AR79" s="15"/>
      <c r="AS79" s="14" t="s">
        <v>3851</v>
      </c>
      <c r="AT79" s="14" t="s">
        <v>3852</v>
      </c>
      <c r="AU79" s="26"/>
      <c r="AV79" s="61">
        <f ca="1">Φύλλο2!W102</f>
        <v>11</v>
      </c>
      <c r="AW79" s="61">
        <f ca="1">Φύλλο2!W103</f>
        <v>40</v>
      </c>
      <c r="AX79" s="61">
        <f ca="1">Φύλλο2!W104</f>
        <v>27</v>
      </c>
      <c r="AY79" s="26"/>
      <c r="AZ79" s="26"/>
      <c r="BA79" s="27"/>
      <c r="BB79" s="11"/>
      <c r="BM79" s="108" t="s">
        <v>3796</v>
      </c>
      <c r="BN79" s="109">
        <f ca="1">IF(BN77&gt;360,BN78,BN77)</f>
        <v>30.170987280692842</v>
      </c>
      <c r="BS79" s="108">
        <v>3</v>
      </c>
      <c r="BT79" s="108">
        <f ca="1">BT66</f>
        <v>10.157333711617344</v>
      </c>
      <c r="CE79" s="108" t="s">
        <v>3647</v>
      </c>
      <c r="CF79" s="108">
        <f>CF77/60</f>
        <v>0.53333333333333333</v>
      </c>
      <c r="CL79" s="108" t="s">
        <v>3644</v>
      </c>
      <c r="CM79" s="108">
        <f>CM75-CM78</f>
        <v>8.7640875055272662</v>
      </c>
      <c r="DD79" s="109" t="s">
        <v>146</v>
      </c>
      <c r="DE79" s="108">
        <f ca="1">IF(DE70&gt;180,DE76,DE77)</f>
        <v>360</v>
      </c>
      <c r="DN79" s="108">
        <f ca="1">DO78</f>
        <v>0.15733371161734411</v>
      </c>
      <c r="DQ79" s="108" t="s">
        <v>3810</v>
      </c>
      <c r="DS79" s="108">
        <f ca="1">DR55-DS78</f>
        <v>0.44002269704064645</v>
      </c>
      <c r="DZ79" s="108">
        <f ca="1">EA78</f>
        <v>1.8689071846379033</v>
      </c>
      <c r="EC79" s="108" t="s">
        <v>3810</v>
      </c>
      <c r="EE79" s="108">
        <f ca="1">ED55-EE78</f>
        <v>0.13443107827419709</v>
      </c>
    </row>
    <row r="80" spans="1:135">
      <c r="A80" s="108">
        <v>73</v>
      </c>
      <c r="B80" s="108" t="str">
        <f t="shared" si="51"/>
        <v>α leo</v>
      </c>
      <c r="C80" s="108">
        <f t="shared" si="52"/>
        <v>0</v>
      </c>
      <c r="F80" s="108" t="s">
        <v>691</v>
      </c>
      <c r="G80" s="108">
        <v>23</v>
      </c>
      <c r="H80" s="108">
        <v>1</v>
      </c>
      <c r="I80" s="108">
        <v>55.3</v>
      </c>
      <c r="J80" s="108">
        <v>42</v>
      </c>
      <c r="K80" s="108">
        <v>19</v>
      </c>
      <c r="L80" s="108">
        <v>34</v>
      </c>
      <c r="M80" s="108" t="s">
        <v>692</v>
      </c>
      <c r="N80" s="108" t="s">
        <v>693</v>
      </c>
      <c r="R80" s="108" t="s">
        <v>694</v>
      </c>
      <c r="S80" s="108" t="s">
        <v>695</v>
      </c>
      <c r="T80" s="108" t="str">
        <f t="shared" si="33"/>
        <v>α</v>
      </c>
      <c r="U80" s="108" t="str">
        <f t="shared" si="34"/>
        <v/>
      </c>
      <c r="X80" s="108" t="s">
        <v>696</v>
      </c>
      <c r="Y80" s="108" t="s">
        <v>324</v>
      </c>
      <c r="AA80" s="108" t="s">
        <v>205</v>
      </c>
      <c r="AB80" s="108" t="s">
        <v>297</v>
      </c>
      <c r="AC80" s="108" t="s">
        <v>302</v>
      </c>
      <c r="AD80" s="108" t="s">
        <v>231</v>
      </c>
      <c r="AE80" s="108" t="s">
        <v>697</v>
      </c>
      <c r="AI80" s="108" t="s">
        <v>698</v>
      </c>
      <c r="AJ80" s="108" t="str">
        <f>IF(C5&gt;0,C1209,"")</f>
        <v/>
      </c>
      <c r="AO80" s="11"/>
      <c r="AP80" s="15"/>
      <c r="AQ80" s="15"/>
      <c r="AR80" s="15"/>
      <c r="AS80" s="101">
        <f ca="1">DI74</f>
        <v>10</v>
      </c>
      <c r="AT80" s="101">
        <f ca="1">DI75</f>
        <v>9</v>
      </c>
      <c r="AU80" s="11"/>
      <c r="AV80" s="11"/>
      <c r="AW80" s="11"/>
      <c r="AX80" s="11"/>
      <c r="AY80" s="11"/>
      <c r="AZ80" s="15"/>
      <c r="BA80" s="15"/>
      <c r="BB80" s="11"/>
      <c r="BS80" s="108">
        <v>4</v>
      </c>
      <c r="BT80" s="108">
        <f ca="1">BT72</f>
        <v>1.8426662883826563</v>
      </c>
      <c r="CE80" s="108" t="s">
        <v>3649</v>
      </c>
      <c r="CF80" s="108">
        <f>(CF76+CF79)/60</f>
        <v>0.52555555555555555</v>
      </c>
      <c r="CL80" s="108" t="s">
        <v>3646</v>
      </c>
      <c r="CM80" s="108">
        <f>24+CM79</f>
        <v>32.764087505527264</v>
      </c>
      <c r="DM80" s="108">
        <v>9</v>
      </c>
      <c r="DN80" s="108">
        <f ca="1">IF(DN79&lt;DM80,DN79,-1)</f>
        <v>0.15733371161734411</v>
      </c>
      <c r="DO80" s="108">
        <f ca="1">IF(DN80=-1,1,0)</f>
        <v>0</v>
      </c>
      <c r="DS80" s="108">
        <f ca="1">DS79*60</f>
        <v>26.401361822438787</v>
      </c>
      <c r="DY80" s="108">
        <v>9</v>
      </c>
      <c r="DZ80" s="108">
        <f ca="1">IF(DZ79&lt;DY80,DZ79,-1)</f>
        <v>1.8689071846379033</v>
      </c>
      <c r="EA80" s="108">
        <f ca="1">IF(DZ80=-1,1,0)</f>
        <v>0</v>
      </c>
      <c r="EE80" s="108">
        <f ca="1">EE79*60</f>
        <v>8.0658646964518255</v>
      </c>
    </row>
    <row r="81" spans="1:135">
      <c r="A81" s="108">
        <v>74</v>
      </c>
      <c r="B81" s="108" t="str">
        <f t="shared" si="51"/>
        <v>α leo</v>
      </c>
      <c r="C81" s="108">
        <f t="shared" si="52"/>
        <v>0</v>
      </c>
      <c r="F81" s="108" t="s">
        <v>699</v>
      </c>
      <c r="G81" s="108">
        <v>1</v>
      </c>
      <c r="H81" s="108">
        <v>9</v>
      </c>
      <c r="I81" s="108">
        <v>30.1</v>
      </c>
      <c r="J81" s="108">
        <v>47</v>
      </c>
      <c r="K81" s="108">
        <v>14</v>
      </c>
      <c r="L81" s="108">
        <v>30</v>
      </c>
      <c r="M81" s="108" t="s">
        <v>700</v>
      </c>
      <c r="N81" s="108" t="s">
        <v>701</v>
      </c>
      <c r="R81" s="108" t="s">
        <v>702</v>
      </c>
      <c r="S81" s="108" t="s">
        <v>703</v>
      </c>
      <c r="T81" s="108" t="str">
        <f t="shared" si="33"/>
        <v>α</v>
      </c>
      <c r="U81" s="108" t="str">
        <f t="shared" si="34"/>
        <v/>
      </c>
      <c r="X81" s="108" t="s">
        <v>327</v>
      </c>
      <c r="Y81" s="108" t="s">
        <v>324</v>
      </c>
      <c r="AA81" s="108" t="s">
        <v>704</v>
      </c>
      <c r="AO81" s="11"/>
      <c r="AP81" s="15"/>
      <c r="AQ81" s="96" t="str">
        <f ca="1">CM156</f>
        <v/>
      </c>
      <c r="AR81" s="96"/>
      <c r="AS81" s="102" t="str">
        <f ca="1">CM157</f>
        <v/>
      </c>
      <c r="AT81" s="59" t="str">
        <f ca="1">CM158</f>
        <v/>
      </c>
      <c r="AU81" s="11"/>
      <c r="AV81" s="11"/>
      <c r="AW81" s="11"/>
      <c r="AX81" s="11"/>
      <c r="AY81" s="11"/>
      <c r="AZ81" s="15"/>
      <c r="BA81" s="15"/>
      <c r="BB81" s="11"/>
      <c r="BM81" s="109" t="s">
        <v>3983</v>
      </c>
      <c r="BN81" s="108">
        <f>BN62</f>
        <v>2</v>
      </c>
      <c r="BS81" s="108" t="s">
        <v>3984</v>
      </c>
      <c r="BT81" s="109">
        <f ca="1">LOOKUP(BT76,(BS77:BS80),(BT77:BT80))</f>
        <v>10.157333711617344</v>
      </c>
      <c r="CE81" s="108" t="s">
        <v>3650</v>
      </c>
      <c r="CF81" s="108">
        <f>CF75+CF80</f>
        <v>10.525555555555556</v>
      </c>
      <c r="CL81" s="108" t="s">
        <v>3648</v>
      </c>
      <c r="DD81" s="109" t="s">
        <v>3985</v>
      </c>
      <c r="DM81" s="108">
        <v>8</v>
      </c>
      <c r="DN81" s="108">
        <f t="shared" ref="DN81:DN88" ca="1" si="55">IF(DN80&lt;DM81,DN80,-1)</f>
        <v>0.15733371161734411</v>
      </c>
      <c r="DO81" s="108">
        <f t="shared" ref="DO81:DO88" ca="1" si="56">IF(DN81=-1,1,0)</f>
        <v>0</v>
      </c>
      <c r="DR81" s="108" t="s">
        <v>16</v>
      </c>
      <c r="DS81" s="108">
        <f ca="1">DO90</f>
        <v>10</v>
      </c>
      <c r="DY81" s="108">
        <v>8</v>
      </c>
      <c r="DZ81" s="108">
        <f t="shared" ref="DZ81:DZ88" ca="1" si="57">IF(DZ80&lt;DY81,DZ80,-1)</f>
        <v>1.8689071846379033</v>
      </c>
      <c r="EA81" s="108">
        <f t="shared" ref="EA81:EA88" ca="1" si="58">IF(DZ81=-1,1,0)</f>
        <v>0</v>
      </c>
      <c r="ED81" s="108" t="s">
        <v>16</v>
      </c>
      <c r="EE81" s="108">
        <f ca="1">EA90</f>
        <v>11</v>
      </c>
    </row>
    <row r="82" spans="1:135">
      <c r="A82" s="108">
        <v>75</v>
      </c>
      <c r="B82" s="108" t="str">
        <f t="shared" si="51"/>
        <v>α leo</v>
      </c>
      <c r="C82" s="108">
        <f t="shared" si="52"/>
        <v>0</v>
      </c>
      <c r="F82" s="108" t="s">
        <v>705</v>
      </c>
      <c r="G82" s="108">
        <v>23</v>
      </c>
      <c r="H82" s="108">
        <v>46</v>
      </c>
      <c r="I82" s="108">
        <v>2.1</v>
      </c>
      <c r="J82" s="108">
        <v>46</v>
      </c>
      <c r="K82" s="108">
        <v>25</v>
      </c>
      <c r="L82" s="108">
        <v>13</v>
      </c>
      <c r="M82" s="108" t="s">
        <v>706</v>
      </c>
      <c r="N82" s="108" t="s">
        <v>707</v>
      </c>
      <c r="R82" s="108" t="s">
        <v>708</v>
      </c>
      <c r="S82" s="108" t="s">
        <v>703</v>
      </c>
      <c r="T82" s="108" t="str">
        <f t="shared" si="33"/>
        <v>α</v>
      </c>
      <c r="U82" s="108" t="str">
        <f t="shared" si="34"/>
        <v/>
      </c>
      <c r="X82" s="108" t="s">
        <v>709</v>
      </c>
      <c r="Y82" s="108" t="s">
        <v>131</v>
      </c>
      <c r="AA82" s="108" t="s">
        <v>710</v>
      </c>
      <c r="AI82" s="109" t="s">
        <v>711</v>
      </c>
      <c r="AR82" s="5" t="s">
        <v>3896</v>
      </c>
      <c r="AU82" s="9"/>
      <c r="AW82" s="8"/>
      <c r="AZ82" s="8"/>
      <c r="BA82" s="8"/>
      <c r="BB82" s="8"/>
      <c r="BM82" s="108">
        <v>1</v>
      </c>
      <c r="BN82" s="108">
        <f ca="1">BN68</f>
        <v>30.170987280692842</v>
      </c>
      <c r="CL82" s="108" t="s">
        <v>3722</v>
      </c>
      <c r="CM82" s="108">
        <f>IF(CM79&lt;0,CM80,CM79)</f>
        <v>8.7640875055272662</v>
      </c>
      <c r="DD82" s="108" t="s">
        <v>3683</v>
      </c>
      <c r="DE82" s="108">
        <f>DE68*-1</f>
        <v>-37</v>
      </c>
      <c r="DM82" s="108">
        <v>7</v>
      </c>
      <c r="DN82" s="108">
        <f t="shared" ca="1" si="55"/>
        <v>0.15733371161734411</v>
      </c>
      <c r="DO82" s="108">
        <f t="shared" ca="1" si="56"/>
        <v>0</v>
      </c>
      <c r="DR82" s="108" t="s">
        <v>3811</v>
      </c>
      <c r="DS82" s="108">
        <f ca="1">DS78</f>
        <v>9</v>
      </c>
      <c r="DY82" s="108">
        <v>7</v>
      </c>
      <c r="DZ82" s="108">
        <f t="shared" ca="1" si="57"/>
        <v>1.8689071846379033</v>
      </c>
      <c r="EA82" s="108">
        <f t="shared" ca="1" si="58"/>
        <v>0</v>
      </c>
      <c r="ED82" s="108" t="s">
        <v>3811</v>
      </c>
      <c r="EE82" s="108">
        <f ca="1">EE78</f>
        <v>52</v>
      </c>
    </row>
    <row r="83" spans="1:135">
      <c r="A83" s="108">
        <v>76</v>
      </c>
      <c r="B83" s="108" t="str">
        <f t="shared" si="51"/>
        <v>α leo</v>
      </c>
      <c r="C83" s="108">
        <f t="shared" si="52"/>
        <v>0</v>
      </c>
      <c r="F83" s="108" t="s">
        <v>61</v>
      </c>
      <c r="M83" s="108" t="s">
        <v>712</v>
      </c>
      <c r="N83" s="108" t="s">
        <v>59</v>
      </c>
      <c r="R83" s="108" t="s">
        <v>713</v>
      </c>
      <c r="S83" s="108" t="s">
        <v>703</v>
      </c>
      <c r="T83" s="108" t="str">
        <f t="shared" si="33"/>
        <v>α</v>
      </c>
      <c r="U83" s="108" t="str">
        <f t="shared" si="34"/>
        <v/>
      </c>
      <c r="X83" s="108" t="s">
        <v>714</v>
      </c>
      <c r="Y83" s="108" t="s">
        <v>131</v>
      </c>
      <c r="AA83" s="108" t="s">
        <v>715</v>
      </c>
      <c r="AB83" s="108" t="str">
        <f>""</f>
        <v/>
      </c>
      <c r="AC83" s="108" t="str">
        <f>""</f>
        <v/>
      </c>
      <c r="AD83" s="108" t="str">
        <f>""</f>
        <v/>
      </c>
      <c r="AE83" s="108" t="str">
        <f>""</f>
        <v/>
      </c>
      <c r="AF83" s="108" t="s">
        <v>716</v>
      </c>
      <c r="AR83" s="90" t="s">
        <v>3895</v>
      </c>
      <c r="AU83" s="9"/>
      <c r="AW83" s="8"/>
      <c r="AX83" s="8"/>
      <c r="AY83" s="8"/>
      <c r="BB83" s="8"/>
      <c r="BM83" s="108">
        <v>2</v>
      </c>
      <c r="BN83" s="108">
        <f ca="1">BN71</f>
        <v>149.82901271930717</v>
      </c>
      <c r="CE83" s="109" t="s">
        <v>3651</v>
      </c>
      <c r="CL83" s="108" t="s">
        <v>3723</v>
      </c>
      <c r="CM83" s="108">
        <f>CM82*15</f>
        <v>131.46131258290899</v>
      </c>
      <c r="DD83" s="108" t="s">
        <v>3684</v>
      </c>
      <c r="DE83" s="108">
        <f ca="1">IF(DE69&gt;DE82,DE69,1000)</f>
        <v>11.868907184637903</v>
      </c>
      <c r="DM83" s="108">
        <v>6</v>
      </c>
      <c r="DN83" s="108">
        <f t="shared" ca="1" si="55"/>
        <v>0.15733371161734411</v>
      </c>
      <c r="DO83" s="108">
        <f t="shared" ca="1" si="56"/>
        <v>0</v>
      </c>
      <c r="DR83" s="108" t="s">
        <v>3812</v>
      </c>
      <c r="DS83" s="108">
        <f ca="1">DS80</f>
        <v>26.401361822438787</v>
      </c>
      <c r="DY83" s="108">
        <v>6</v>
      </c>
      <c r="DZ83" s="108">
        <f t="shared" ca="1" si="57"/>
        <v>1.8689071846379033</v>
      </c>
      <c r="EA83" s="108">
        <f t="shared" ca="1" si="58"/>
        <v>0</v>
      </c>
      <c r="ED83" s="108" t="s">
        <v>3812</v>
      </c>
      <c r="EE83" s="108">
        <f ca="1">EE80</f>
        <v>8.0658646964518255</v>
      </c>
    </row>
    <row r="84" spans="1:135">
      <c r="A84" s="108">
        <v>77</v>
      </c>
      <c r="B84" s="108" t="str">
        <f t="shared" si="51"/>
        <v>α leo</v>
      </c>
      <c r="C84" s="108">
        <f t="shared" si="52"/>
        <v>0</v>
      </c>
      <c r="F84" s="108" t="s">
        <v>717</v>
      </c>
      <c r="G84" s="108">
        <v>10</v>
      </c>
      <c r="H84" s="108">
        <v>27</v>
      </c>
      <c r="I84" s="108">
        <v>9.1</v>
      </c>
      <c r="J84" s="108">
        <v>-31</v>
      </c>
      <c r="K84" s="108">
        <v>-4</v>
      </c>
      <c r="L84" s="108">
        <v>-4</v>
      </c>
      <c r="M84" s="108" t="s">
        <v>718</v>
      </c>
      <c r="N84" s="108" t="s">
        <v>719</v>
      </c>
      <c r="R84" s="108" t="s">
        <v>720</v>
      </c>
      <c r="S84" s="108" t="s">
        <v>721</v>
      </c>
      <c r="T84" s="108" t="str">
        <f t="shared" si="33"/>
        <v>α</v>
      </c>
      <c r="U84" s="108" t="str">
        <f t="shared" si="34"/>
        <v/>
      </c>
      <c r="X84" s="108" t="s">
        <v>722</v>
      </c>
      <c r="Y84" s="108" t="s">
        <v>131</v>
      </c>
      <c r="AY84" s="1" t="s">
        <v>3519</v>
      </c>
      <c r="AZ84" s="4">
        <v>0</v>
      </c>
      <c r="BM84" s="108">
        <v>3</v>
      </c>
      <c r="BN84" s="108">
        <f ca="1">BN74</f>
        <v>149.82901271930717</v>
      </c>
      <c r="CE84" s="108" t="s">
        <v>3502</v>
      </c>
      <c r="CF84" s="108">
        <f>CF72</f>
        <v>2020</v>
      </c>
      <c r="CL84" s="109" t="s">
        <v>3654</v>
      </c>
      <c r="DD84" s="108" t="s">
        <v>3685</v>
      </c>
      <c r="DE84" s="109">
        <f ca="1">IF(DE83&lt;DE68,2,0)</f>
        <v>2</v>
      </c>
      <c r="DM84" s="108">
        <v>5</v>
      </c>
      <c r="DN84" s="108">
        <f t="shared" ca="1" si="55"/>
        <v>0.15733371161734411</v>
      </c>
      <c r="DO84" s="108">
        <f t="shared" ca="1" si="56"/>
        <v>0</v>
      </c>
      <c r="DY84" s="108">
        <v>5</v>
      </c>
      <c r="DZ84" s="108">
        <f t="shared" ca="1" si="57"/>
        <v>1.8689071846379033</v>
      </c>
      <c r="EA84" s="108">
        <f t="shared" ca="1" si="58"/>
        <v>0</v>
      </c>
    </row>
    <row r="85" spans="1:135" ht="17.25">
      <c r="A85" s="108">
        <v>78</v>
      </c>
      <c r="B85" s="108" t="str">
        <f t="shared" si="51"/>
        <v>α leo</v>
      </c>
      <c r="C85" s="108">
        <f t="shared" si="52"/>
        <v>0</v>
      </c>
      <c r="F85" s="108" t="s">
        <v>723</v>
      </c>
      <c r="G85" s="108">
        <v>10</v>
      </c>
      <c r="H85" s="108">
        <v>56</v>
      </c>
      <c r="I85" s="108">
        <v>43.1</v>
      </c>
      <c r="J85" s="108">
        <v>-37</v>
      </c>
      <c r="K85" s="108">
        <v>-8</v>
      </c>
      <c r="L85" s="108">
        <v>-16</v>
      </c>
      <c r="M85" s="108" t="s">
        <v>724</v>
      </c>
      <c r="N85" s="108" t="s">
        <v>725</v>
      </c>
      <c r="R85" s="108" t="s">
        <v>726</v>
      </c>
      <c r="S85" s="108" t="s">
        <v>721</v>
      </c>
      <c r="T85" s="108" t="str">
        <f t="shared" si="33"/>
        <v>α</v>
      </c>
      <c r="U85" s="108" t="str">
        <f t="shared" si="34"/>
        <v/>
      </c>
      <c r="X85" s="108" t="s">
        <v>134</v>
      </c>
      <c r="Y85" s="108" t="s">
        <v>131</v>
      </c>
      <c r="AR85" s="59" t="s">
        <v>3814</v>
      </c>
      <c r="AS85" s="59">
        <f ca="1">DI30</f>
        <v>8</v>
      </c>
      <c r="AT85" s="59">
        <f ca="1">DI31</f>
        <v>45</v>
      </c>
      <c r="AU85" s="59">
        <f ca="1">DI32</f>
        <v>45.591818024612962</v>
      </c>
      <c r="AY85" s="1" t="s">
        <v>3513</v>
      </c>
      <c r="AZ85" s="4">
        <v>2020</v>
      </c>
      <c r="BM85" s="108">
        <v>4</v>
      </c>
      <c r="BN85" s="108">
        <f ca="1">BN79</f>
        <v>30.170987280692842</v>
      </c>
      <c r="CE85" s="108" t="s">
        <v>3503</v>
      </c>
      <c r="CF85" s="108">
        <f>CF73</f>
        <v>2</v>
      </c>
      <c r="DD85" s="109" t="s">
        <v>3986</v>
      </c>
      <c r="DM85" s="108">
        <v>4</v>
      </c>
      <c r="DN85" s="108">
        <f t="shared" ca="1" si="55"/>
        <v>0.15733371161734411</v>
      </c>
      <c r="DO85" s="108">
        <f t="shared" ca="1" si="56"/>
        <v>0</v>
      </c>
      <c r="DR85" s="108" t="s">
        <v>16</v>
      </c>
      <c r="DS85" s="108">
        <f ca="1">-1*DS81</f>
        <v>-10</v>
      </c>
      <c r="DY85" s="108">
        <v>4</v>
      </c>
      <c r="DZ85" s="108">
        <f t="shared" ca="1" si="57"/>
        <v>1.8689071846379033</v>
      </c>
      <c r="EA85" s="108">
        <f t="shared" ca="1" si="58"/>
        <v>0</v>
      </c>
      <c r="ED85" s="108" t="s">
        <v>16</v>
      </c>
      <c r="EE85" s="108">
        <f ca="1">-1*EE81</f>
        <v>-11</v>
      </c>
    </row>
    <row r="86" spans="1:135" ht="16.5">
      <c r="A86" s="108">
        <v>79</v>
      </c>
      <c r="B86" s="108" t="str">
        <f t="shared" si="51"/>
        <v>α leo</v>
      </c>
      <c r="C86" s="108">
        <f t="shared" si="52"/>
        <v>0</v>
      </c>
      <c r="F86" s="108" t="s">
        <v>614</v>
      </c>
      <c r="M86" s="108" t="s">
        <v>727</v>
      </c>
      <c r="N86" s="108" t="s">
        <v>268</v>
      </c>
      <c r="R86" s="108" t="s">
        <v>728</v>
      </c>
      <c r="S86" s="108" t="s">
        <v>729</v>
      </c>
      <c r="T86" s="108" t="str">
        <f t="shared" si="33"/>
        <v>α</v>
      </c>
      <c r="U86" s="108" t="str">
        <f t="shared" si="34"/>
        <v/>
      </c>
      <c r="X86" s="108" t="s">
        <v>730</v>
      </c>
      <c r="Y86" s="108" t="s">
        <v>314</v>
      </c>
      <c r="AR86" s="59" t="str">
        <f>IF(Φύλλο2!T97=4,Φύλλο2!G100,Φύλλο2!G101)</f>
        <v>Ενεργή οθόνη</v>
      </c>
      <c r="AS86" s="11"/>
      <c r="AY86" s="1" t="s">
        <v>3531</v>
      </c>
      <c r="AZ86" s="4">
        <v>37</v>
      </c>
      <c r="BM86" s="109" t="s">
        <v>3511</v>
      </c>
      <c r="BN86" s="109">
        <f ca="1">LOOKUP(BN81,(BM82:BM85),(BN82:BN85))</f>
        <v>149.82901271930717</v>
      </c>
      <c r="CE86" s="108" t="s">
        <v>3504</v>
      </c>
      <c r="CF86" s="108">
        <f>CF74</f>
        <v>2</v>
      </c>
      <c r="CL86" s="109" t="s">
        <v>3818</v>
      </c>
      <c r="CM86" s="108" t="str">
        <f>CM45</f>
        <v/>
      </c>
      <c r="DD86" s="108" t="s">
        <v>3987</v>
      </c>
      <c r="DE86" s="108">
        <f ca="1">DE43*DE46</f>
        <v>0.58894866465569051</v>
      </c>
      <c r="DM86" s="108">
        <v>3</v>
      </c>
      <c r="DN86" s="108">
        <f t="shared" ca="1" si="55"/>
        <v>0.15733371161734411</v>
      </c>
      <c r="DO86" s="108">
        <f t="shared" ca="1" si="56"/>
        <v>0</v>
      </c>
      <c r="DR86" s="108" t="s">
        <v>3811</v>
      </c>
      <c r="DS86" s="108">
        <f ca="1">-1*DS82</f>
        <v>-9</v>
      </c>
      <c r="DY86" s="108">
        <v>3</v>
      </c>
      <c r="DZ86" s="108">
        <f t="shared" ca="1" si="57"/>
        <v>1.8689071846379033</v>
      </c>
      <c r="EA86" s="108">
        <f t="shared" ca="1" si="58"/>
        <v>0</v>
      </c>
      <c r="ED86" s="108" t="s">
        <v>3811</v>
      </c>
      <c r="EE86" s="108">
        <f ca="1">-1*EE82</f>
        <v>-52</v>
      </c>
    </row>
    <row r="87" spans="1:135" ht="16.5">
      <c r="A87" s="108">
        <v>80</v>
      </c>
      <c r="B87" s="108" t="str">
        <f t="shared" si="51"/>
        <v>α leo</v>
      </c>
      <c r="C87" s="108">
        <f t="shared" si="52"/>
        <v>0</v>
      </c>
      <c r="F87" s="108" t="s">
        <v>731</v>
      </c>
      <c r="G87" s="108">
        <v>18</v>
      </c>
      <c r="H87" s="108">
        <v>35</v>
      </c>
      <c r="I87" s="108">
        <v>12.4</v>
      </c>
      <c r="J87" s="108">
        <v>-8</v>
      </c>
      <c r="K87" s="108">
        <v>-14</v>
      </c>
      <c r="L87" s="108">
        <v>-39</v>
      </c>
      <c r="M87" s="108" t="s">
        <v>732</v>
      </c>
      <c r="N87" s="108" t="s">
        <v>733</v>
      </c>
      <c r="R87" s="108" t="s">
        <v>734</v>
      </c>
      <c r="S87" s="108" t="s">
        <v>729</v>
      </c>
      <c r="T87" s="108" t="str">
        <f t="shared" si="33"/>
        <v>α</v>
      </c>
      <c r="U87" s="108" t="str">
        <f t="shared" si="34"/>
        <v/>
      </c>
      <c r="X87" s="108" t="s">
        <v>735</v>
      </c>
      <c r="Y87" s="108" t="s">
        <v>314</v>
      </c>
      <c r="AR87" s="56" t="s">
        <v>3520</v>
      </c>
      <c r="AS87" s="11"/>
      <c r="AY87" s="1" t="s">
        <v>3514</v>
      </c>
      <c r="AZ87" s="4">
        <v>23.908000000000001</v>
      </c>
      <c r="CE87" s="108" t="s">
        <v>3505</v>
      </c>
      <c r="CF87" s="108">
        <f>CF81</f>
        <v>10.525555555555556</v>
      </c>
      <c r="CL87" s="109" t="s">
        <v>3819</v>
      </c>
      <c r="DD87" s="108" t="s">
        <v>3988</v>
      </c>
      <c r="DE87" s="108">
        <f ca="1">DE53/DE86</f>
        <v>0.27890016128892103</v>
      </c>
      <c r="DM87" s="108">
        <v>2</v>
      </c>
      <c r="DN87" s="108">
        <f t="shared" ca="1" si="55"/>
        <v>0.15733371161734411</v>
      </c>
      <c r="DO87" s="108">
        <f t="shared" ca="1" si="56"/>
        <v>0</v>
      </c>
      <c r="DR87" s="108" t="s">
        <v>3812</v>
      </c>
      <c r="DS87" s="108">
        <f ca="1">-1*DS83</f>
        <v>-26.401361822438787</v>
      </c>
      <c r="DY87" s="108">
        <v>2</v>
      </c>
      <c r="DZ87" s="108">
        <f t="shared" ca="1" si="57"/>
        <v>1.8689071846379033</v>
      </c>
      <c r="EA87" s="108">
        <f t="shared" ca="1" si="58"/>
        <v>0</v>
      </c>
      <c r="ED87" s="108" t="s">
        <v>3812</v>
      </c>
      <c r="EE87" s="108">
        <f ca="1">-1*EE83</f>
        <v>-8.0658646964518255</v>
      </c>
    </row>
    <row r="88" spans="1:135">
      <c r="A88" s="108">
        <v>81</v>
      </c>
      <c r="B88" s="108" t="str">
        <f t="shared" si="51"/>
        <v>α leo</v>
      </c>
      <c r="C88" s="108">
        <f t="shared" si="52"/>
        <v>0</v>
      </c>
      <c r="F88" s="108" t="s">
        <v>736</v>
      </c>
      <c r="G88" s="108">
        <v>18</v>
      </c>
      <c r="H88" s="108">
        <v>47</v>
      </c>
      <c r="I88" s="108">
        <v>10.5</v>
      </c>
      <c r="J88" s="108">
        <v>-4</v>
      </c>
      <c r="K88" s="108">
        <v>-44</v>
      </c>
      <c r="L88" s="108">
        <v>-52</v>
      </c>
      <c r="M88" s="108" t="s">
        <v>737</v>
      </c>
      <c r="N88" s="108" t="s">
        <v>738</v>
      </c>
      <c r="R88" s="108" t="s">
        <v>739</v>
      </c>
      <c r="S88" s="108" t="s">
        <v>740</v>
      </c>
      <c r="T88" s="108" t="str">
        <f t="shared" si="33"/>
        <v>α</v>
      </c>
      <c r="U88" s="108" t="str">
        <f t="shared" si="34"/>
        <v/>
      </c>
      <c r="X88" s="108" t="s">
        <v>741</v>
      </c>
      <c r="Y88" s="108" t="s">
        <v>314</v>
      </c>
      <c r="AR88" s="17" t="s">
        <v>3446</v>
      </c>
      <c r="AS88" s="46">
        <f ca="1">AV74</f>
        <v>307.06074194237732</v>
      </c>
      <c r="AY88" s="1" t="s">
        <v>3515</v>
      </c>
      <c r="AZ88" s="4">
        <v>2</v>
      </c>
      <c r="CL88" s="108" t="s">
        <v>3820</v>
      </c>
      <c r="CM88" s="108">
        <f>CM31</f>
        <v>2020</v>
      </c>
      <c r="DD88" s="108" t="s">
        <v>3686</v>
      </c>
      <c r="DE88" s="108">
        <f ca="1">IF(DE87&gt;1,1,0)</f>
        <v>0</v>
      </c>
      <c r="DM88" s="108">
        <v>1</v>
      </c>
      <c r="DN88" s="108">
        <f t="shared" ca="1" si="55"/>
        <v>0.15733371161734411</v>
      </c>
      <c r="DO88" s="108">
        <f t="shared" ca="1" si="56"/>
        <v>0</v>
      </c>
      <c r="DY88" s="108">
        <v>1</v>
      </c>
      <c r="DZ88" s="108">
        <f t="shared" ca="1" si="57"/>
        <v>-1</v>
      </c>
      <c r="EA88" s="108">
        <f t="shared" ca="1" si="58"/>
        <v>1</v>
      </c>
    </row>
    <row r="89" spans="1:135">
      <c r="A89" s="108">
        <v>82</v>
      </c>
      <c r="B89" s="108" t="str">
        <f t="shared" si="51"/>
        <v>α leo</v>
      </c>
      <c r="C89" s="108">
        <f t="shared" si="52"/>
        <v>0</v>
      </c>
      <c r="F89" s="108" t="s">
        <v>742</v>
      </c>
      <c r="G89" s="108">
        <v>18</v>
      </c>
      <c r="H89" s="108">
        <v>29</v>
      </c>
      <c r="I89" s="108">
        <v>11.9</v>
      </c>
      <c r="J89" s="108">
        <v>-14</v>
      </c>
      <c r="K89" s="108">
        <v>-33</v>
      </c>
      <c r="L89" s="108">
        <v>-57</v>
      </c>
      <c r="M89" s="108" t="s">
        <v>743</v>
      </c>
      <c r="N89" s="108" t="s">
        <v>744</v>
      </c>
      <c r="R89" s="108" t="s">
        <v>745</v>
      </c>
      <c r="S89" s="108" t="s">
        <v>740</v>
      </c>
      <c r="T89" s="108" t="str">
        <f t="shared" si="33"/>
        <v>α</v>
      </c>
      <c r="U89" s="108" t="str">
        <f t="shared" si="34"/>
        <v/>
      </c>
      <c r="X89" s="108" t="s">
        <v>317</v>
      </c>
      <c r="Y89" s="108" t="s">
        <v>314</v>
      </c>
      <c r="AR89" s="17" t="s">
        <v>3447</v>
      </c>
      <c r="AS89" s="57">
        <f ca="1">AX74</f>
        <v>-23.17166833781301</v>
      </c>
      <c r="AY89" s="1" t="s">
        <v>3516</v>
      </c>
      <c r="AZ89" s="4">
        <v>2</v>
      </c>
      <c r="CE89" s="108" t="s">
        <v>3656</v>
      </c>
      <c r="CF89" s="108">
        <f>CF35</f>
        <v>0</v>
      </c>
      <c r="CL89" s="108" t="s">
        <v>3821</v>
      </c>
      <c r="CM89" s="108">
        <f>CM26</f>
        <v>10.139527777777777</v>
      </c>
      <c r="DD89" s="108" t="s">
        <v>3687</v>
      </c>
      <c r="DE89" s="108">
        <f ca="1">IF(DE87&lt;-1,1,0)</f>
        <v>0</v>
      </c>
      <c r="DO89" s="108">
        <f ca="1">SUM(DO80:DO88)</f>
        <v>0</v>
      </c>
      <c r="EA89" s="108">
        <f ca="1">SUM(EA80:EA88)</f>
        <v>1</v>
      </c>
    </row>
    <row r="90" spans="1:135">
      <c r="A90" s="108">
        <v>83</v>
      </c>
      <c r="B90" s="108" t="str">
        <f t="shared" si="51"/>
        <v>α leo</v>
      </c>
      <c r="C90" s="108">
        <f t="shared" si="52"/>
        <v>0</v>
      </c>
      <c r="F90" s="108" t="s">
        <v>746</v>
      </c>
      <c r="M90" s="108" t="s">
        <v>747</v>
      </c>
      <c r="N90" s="108" t="s">
        <v>748</v>
      </c>
      <c r="R90" s="108" t="s">
        <v>749</v>
      </c>
      <c r="S90" s="108" t="s">
        <v>740</v>
      </c>
      <c r="T90" s="108" t="str">
        <f t="shared" si="33"/>
        <v>α</v>
      </c>
      <c r="U90" s="108" t="str">
        <f t="shared" si="34"/>
        <v/>
      </c>
      <c r="X90" s="108" t="s">
        <v>750</v>
      </c>
      <c r="Y90" s="108" t="s">
        <v>677</v>
      </c>
      <c r="AR90" s="54" t="s">
        <v>3519</v>
      </c>
      <c r="AS90" s="58">
        <v>0</v>
      </c>
      <c r="AY90" s="1" t="s">
        <v>3517</v>
      </c>
      <c r="AZ90" s="4">
        <v>10</v>
      </c>
      <c r="CE90" s="108" t="s">
        <v>3657</v>
      </c>
      <c r="CF90" s="108" t="str">
        <f>IF(CF89=-1,CE90,CE91)</f>
        <v>Ώρα Ελλάδος</v>
      </c>
      <c r="CL90" s="108" t="s">
        <v>3822</v>
      </c>
      <c r="CM90" s="108">
        <f ca="1">BN10</f>
        <v>11.868907184637903</v>
      </c>
      <c r="DD90" s="108" t="s">
        <v>3465</v>
      </c>
      <c r="DE90" s="108">
        <f ca="1">DE88+DE89</f>
        <v>0</v>
      </c>
      <c r="DN90" s="108" t="s">
        <v>3813</v>
      </c>
      <c r="DO90" s="108">
        <f ca="1">DO89+DO77+DO65</f>
        <v>10</v>
      </c>
      <c r="DQ90" s="108" t="s">
        <v>16</v>
      </c>
      <c r="DR90" s="108">
        <f ca="1">IF(DS90=1,DS81,DS85)</f>
        <v>10</v>
      </c>
      <c r="DS90" s="108">
        <f ca="1">DK59</f>
        <v>1</v>
      </c>
      <c r="DZ90" s="108" t="s">
        <v>3813</v>
      </c>
      <c r="EA90" s="108">
        <f ca="1">EA89+EA77+EA65</f>
        <v>11</v>
      </c>
      <c r="EC90" s="108" t="s">
        <v>16</v>
      </c>
      <c r="ED90" s="108">
        <f ca="1">IF(EE90=1,EE81,EE85)</f>
        <v>11</v>
      </c>
      <c r="EE90" s="108">
        <f ca="1">DW59</f>
        <v>1</v>
      </c>
    </row>
    <row r="91" spans="1:135">
      <c r="A91" s="108">
        <v>84</v>
      </c>
      <c r="B91" s="108" t="str">
        <f t="shared" si="51"/>
        <v>α leo</v>
      </c>
      <c r="C91" s="108">
        <f t="shared" si="52"/>
        <v>0</v>
      </c>
      <c r="F91" s="108" t="s">
        <v>751</v>
      </c>
      <c r="G91" s="116">
        <v>5</v>
      </c>
      <c r="H91" s="116">
        <v>5</v>
      </c>
      <c r="I91" s="116">
        <v>34.299999999999997</v>
      </c>
      <c r="J91" s="116">
        <v>10</v>
      </c>
      <c r="K91" s="116">
        <v>42</v>
      </c>
      <c r="L91" s="116">
        <v>23</v>
      </c>
      <c r="M91" s="116" t="s">
        <v>752</v>
      </c>
      <c r="N91" s="116" t="s">
        <v>753</v>
      </c>
      <c r="R91" s="108" t="s">
        <v>754</v>
      </c>
      <c r="S91" s="108" t="s">
        <v>755</v>
      </c>
      <c r="T91" s="108" t="str">
        <f t="shared" si="33"/>
        <v>α</v>
      </c>
      <c r="U91" s="108" t="str">
        <f t="shared" si="34"/>
        <v/>
      </c>
      <c r="X91" s="108" t="s">
        <v>679</v>
      </c>
      <c r="Y91" s="108" t="s">
        <v>677</v>
      </c>
      <c r="AR91" s="7" t="s">
        <v>3513</v>
      </c>
      <c r="AS91" s="4">
        <v>2020</v>
      </c>
      <c r="AY91" s="1" t="s">
        <v>3518</v>
      </c>
      <c r="AZ91" s="4">
        <v>31</v>
      </c>
      <c r="CE91" s="108" t="s">
        <v>3658</v>
      </c>
      <c r="CL91" s="108" t="s">
        <v>3744</v>
      </c>
      <c r="CM91" s="108">
        <v>0.39794863130761038</v>
      </c>
      <c r="DD91" s="108" t="s">
        <v>3688</v>
      </c>
      <c r="DE91" s="108">
        <f ca="1">IF(DE90=0,DE87,0)</f>
        <v>0.27890016128892103</v>
      </c>
      <c r="DM91" s="108" t="s">
        <v>3810</v>
      </c>
      <c r="DO91" s="108">
        <f ca="1">DK60-DO90</f>
        <v>0.15733371161734411</v>
      </c>
      <c r="DQ91" s="108" t="s">
        <v>3811</v>
      </c>
      <c r="DR91" s="108">
        <f ca="1">IF(DS91=1,DS82,DS86)</f>
        <v>9</v>
      </c>
      <c r="DS91" s="108">
        <f ca="1">DS90</f>
        <v>1</v>
      </c>
      <c r="DY91" s="108" t="s">
        <v>3810</v>
      </c>
      <c r="EA91" s="108">
        <f ca="1">DW60-EA90</f>
        <v>0.86890718463790328</v>
      </c>
      <c r="EC91" s="108" t="s">
        <v>3811</v>
      </c>
      <c r="ED91" s="108">
        <f ca="1">IF(EE91=1,EE82,EE86)</f>
        <v>52</v>
      </c>
      <c r="EE91" s="108">
        <f ca="1">EE90</f>
        <v>1</v>
      </c>
    </row>
    <row r="92" spans="1:135" ht="16.5">
      <c r="A92" s="108">
        <v>85</v>
      </c>
      <c r="B92" s="108" t="str">
        <f t="shared" si="51"/>
        <v>α leo</v>
      </c>
      <c r="C92" s="108">
        <f t="shared" si="52"/>
        <v>0</v>
      </c>
      <c r="F92" s="108" t="s">
        <v>756</v>
      </c>
      <c r="M92" s="108" t="s">
        <v>757</v>
      </c>
      <c r="N92" s="108" t="s">
        <v>304</v>
      </c>
      <c r="R92" s="108" t="s">
        <v>758</v>
      </c>
      <c r="S92" s="108" t="s">
        <v>755</v>
      </c>
      <c r="T92" s="108" t="str">
        <f t="shared" si="33"/>
        <v>α</v>
      </c>
      <c r="U92" s="108" t="str">
        <f t="shared" si="34"/>
        <v/>
      </c>
      <c r="X92" s="108" t="s">
        <v>759</v>
      </c>
      <c r="Y92" s="108" t="s">
        <v>538</v>
      </c>
      <c r="AR92" s="7" t="s">
        <v>3531</v>
      </c>
      <c r="AS92" s="4">
        <v>37</v>
      </c>
      <c r="AY92" s="1" t="s">
        <v>3462</v>
      </c>
      <c r="AZ92" s="4">
        <v>32</v>
      </c>
      <c r="DD92" s="108" t="s">
        <v>3989</v>
      </c>
      <c r="DE92" s="108">
        <f ca="1">DEGREES(ACOS(RADIANS(DEGREES(DE91))))</f>
        <v>73.805426130322118</v>
      </c>
      <c r="DO92" s="108">
        <f ca="1">DO91*60</f>
        <v>9.4400226970406464</v>
      </c>
      <c r="DQ92" s="108" t="s">
        <v>3812</v>
      </c>
      <c r="DR92" s="108">
        <f ca="1">IF(DS92=1,DS83,DS87)</f>
        <v>26.401361822438787</v>
      </c>
      <c r="DS92" s="108">
        <f ca="1">DS90</f>
        <v>1</v>
      </c>
      <c r="EA92" s="108">
        <f ca="1">EA91*60</f>
        <v>52.134431078274197</v>
      </c>
      <c r="EC92" s="108" t="s">
        <v>3812</v>
      </c>
      <c r="ED92" s="108">
        <f ca="1">IF(EE92=1,EE83,EE87)</f>
        <v>8.0658646964518255</v>
      </c>
      <c r="EE92" s="108">
        <f ca="1">EE90</f>
        <v>1</v>
      </c>
    </row>
    <row r="93" spans="1:135" ht="16.5">
      <c r="A93" s="108">
        <v>86</v>
      </c>
      <c r="B93" s="108" t="str">
        <f t="shared" si="51"/>
        <v>α leo</v>
      </c>
      <c r="C93" s="108">
        <f t="shared" si="52"/>
        <v>0</v>
      </c>
      <c r="F93" s="108" t="s">
        <v>760</v>
      </c>
      <c r="G93" s="108">
        <v>19</v>
      </c>
      <c r="H93" s="108">
        <v>40</v>
      </c>
      <c r="I93" s="108">
        <v>5.8</v>
      </c>
      <c r="J93" s="108">
        <v>18</v>
      </c>
      <c r="K93" s="108">
        <v>0</v>
      </c>
      <c r="L93" s="108">
        <v>50</v>
      </c>
      <c r="M93" s="108" t="s">
        <v>761</v>
      </c>
      <c r="N93" s="108" t="s">
        <v>762</v>
      </c>
      <c r="R93" s="108" t="s">
        <v>763</v>
      </c>
      <c r="S93" s="108" t="s">
        <v>764</v>
      </c>
      <c r="T93" s="108" t="str">
        <f t="shared" si="33"/>
        <v>α</v>
      </c>
      <c r="U93" s="108" t="str">
        <f t="shared" si="34"/>
        <v/>
      </c>
      <c r="X93" s="108" t="s">
        <v>541</v>
      </c>
      <c r="Y93" s="108" t="s">
        <v>538</v>
      </c>
      <c r="AR93" s="7" t="s">
        <v>3514</v>
      </c>
      <c r="AS93" s="4">
        <v>23.908000000000001</v>
      </c>
      <c r="AW93" s="6"/>
      <c r="AY93" s="1" t="s">
        <v>75</v>
      </c>
      <c r="AZ93" s="4"/>
      <c r="CL93" s="108" t="s">
        <v>3823</v>
      </c>
      <c r="CM93" s="108">
        <f>CM89*15</f>
        <v>152.09291666666667</v>
      </c>
      <c r="DD93" s="108" t="s">
        <v>3990</v>
      </c>
      <c r="DE93" s="108">
        <f ca="1">360-DE92</f>
        <v>286.19457386967787</v>
      </c>
    </row>
    <row r="94" spans="1:135">
      <c r="A94" s="108">
        <v>87</v>
      </c>
      <c r="B94" s="108" t="str">
        <f t="shared" si="51"/>
        <v>α leo</v>
      </c>
      <c r="C94" s="108">
        <f t="shared" si="52"/>
        <v>0</v>
      </c>
      <c r="F94" s="108" t="s">
        <v>765</v>
      </c>
      <c r="G94" s="108">
        <v>19</v>
      </c>
      <c r="H94" s="108">
        <v>41</v>
      </c>
      <c r="I94" s="108">
        <v>2.9</v>
      </c>
      <c r="J94" s="108">
        <v>17</v>
      </c>
      <c r="K94" s="108">
        <v>28</v>
      </c>
      <c r="L94" s="108">
        <v>34</v>
      </c>
      <c r="M94" s="108" t="s">
        <v>766</v>
      </c>
      <c r="N94" s="108" t="s">
        <v>767</v>
      </c>
      <c r="R94" s="108" t="s">
        <v>768</v>
      </c>
      <c r="S94" s="108" t="s">
        <v>764</v>
      </c>
      <c r="T94" s="108" t="str">
        <f t="shared" si="33"/>
        <v>α</v>
      </c>
      <c r="U94" s="108" t="str">
        <f t="shared" si="34"/>
        <v/>
      </c>
      <c r="X94" s="108" t="s">
        <v>769</v>
      </c>
      <c r="Y94" s="108" t="s">
        <v>538</v>
      </c>
      <c r="AR94" s="7" t="s">
        <v>3515</v>
      </c>
      <c r="AS94" s="4">
        <v>2</v>
      </c>
      <c r="AY94" s="1" t="s">
        <v>3459</v>
      </c>
      <c r="AZ94" s="4" t="s">
        <v>3864</v>
      </c>
      <c r="CL94" s="108" t="s">
        <v>3925</v>
      </c>
      <c r="CM94" s="108">
        <f>SIN(RADIANS(CM93))</f>
        <v>0.46803906840986487</v>
      </c>
      <c r="DD94" s="108" t="s">
        <v>3991</v>
      </c>
      <c r="DE94" s="108">
        <f ca="1">IF(DE84=2,DE61,0)</f>
        <v>52.939258057622681</v>
      </c>
    </row>
    <row r="95" spans="1:135">
      <c r="A95" s="108">
        <v>88</v>
      </c>
      <c r="B95" s="108" t="str">
        <f t="shared" si="51"/>
        <v>α leo</v>
      </c>
      <c r="C95" s="108">
        <f t="shared" si="52"/>
        <v>0</v>
      </c>
      <c r="F95" s="108" t="s">
        <v>770</v>
      </c>
      <c r="G95" s="108">
        <v>19</v>
      </c>
      <c r="H95" s="108">
        <v>58</v>
      </c>
      <c r="I95" s="108">
        <v>45.4</v>
      </c>
      <c r="J95" s="108">
        <v>19</v>
      </c>
      <c r="K95" s="108">
        <v>29</v>
      </c>
      <c r="L95" s="108">
        <v>32</v>
      </c>
      <c r="M95" s="108" t="s">
        <v>771</v>
      </c>
      <c r="N95" s="108" t="s">
        <v>772</v>
      </c>
      <c r="R95" s="108" t="s">
        <v>773</v>
      </c>
      <c r="S95" s="108" t="s">
        <v>774</v>
      </c>
      <c r="T95" s="108" t="str">
        <f t="shared" si="33"/>
        <v>α</v>
      </c>
      <c r="U95" s="108" t="str">
        <f t="shared" si="34"/>
        <v/>
      </c>
      <c r="X95" s="108" t="s">
        <v>775</v>
      </c>
      <c r="Y95" s="108" t="s">
        <v>538</v>
      </c>
      <c r="AR95" s="7" t="s">
        <v>3516</v>
      </c>
      <c r="AS95" s="4">
        <v>2</v>
      </c>
      <c r="CL95" s="108" t="s">
        <v>3926</v>
      </c>
      <c r="CM95" s="108">
        <f>COS(RADIANS(CM93))</f>
        <v>-0.88370777434739467</v>
      </c>
      <c r="DD95" s="108" t="s">
        <v>3992</v>
      </c>
      <c r="DE95" s="108">
        <f ca="1">IF(DE22&gt;180,10,20)</f>
        <v>20</v>
      </c>
    </row>
    <row r="96" spans="1:135">
      <c r="A96" s="108">
        <v>89</v>
      </c>
      <c r="B96" s="108" t="str">
        <f t="shared" si="51"/>
        <v>α leo</v>
      </c>
      <c r="C96" s="108">
        <f t="shared" si="52"/>
        <v>0</v>
      </c>
      <c r="F96" s="108" t="s">
        <v>776</v>
      </c>
      <c r="G96" s="108">
        <v>19</v>
      </c>
      <c r="H96" s="108">
        <v>47</v>
      </c>
      <c r="I96" s="108">
        <v>23.3</v>
      </c>
      <c r="J96" s="108">
        <v>18</v>
      </c>
      <c r="K96" s="108">
        <v>32</v>
      </c>
      <c r="L96" s="108">
        <v>3</v>
      </c>
      <c r="M96" s="108" t="s">
        <v>777</v>
      </c>
      <c r="N96" s="108" t="s">
        <v>778</v>
      </c>
      <c r="R96" s="108" t="s">
        <v>779</v>
      </c>
      <c r="S96" s="108" t="s">
        <v>774</v>
      </c>
      <c r="T96" s="108" t="str">
        <f t="shared" si="33"/>
        <v>α</v>
      </c>
      <c r="U96" s="108" t="str">
        <f t="shared" si="34"/>
        <v/>
      </c>
      <c r="X96" s="108" t="s">
        <v>780</v>
      </c>
      <c r="Y96" s="108" t="s">
        <v>113</v>
      </c>
      <c r="AR96" s="7" t="s">
        <v>3517</v>
      </c>
      <c r="AS96" s="4">
        <v>10</v>
      </c>
      <c r="AW96" s="1" t="s">
        <v>3870</v>
      </c>
      <c r="CL96" s="108" t="s">
        <v>3928</v>
      </c>
      <c r="CM96" s="108">
        <f ca="1">SIN(RADIANS(CM90))</f>
        <v>0.20567314563015096</v>
      </c>
      <c r="DD96" s="108" t="s">
        <v>3689</v>
      </c>
      <c r="DE96" s="108">
        <f ca="1">180+DE94</f>
        <v>232.93925805762268</v>
      </c>
    </row>
    <row r="97" spans="1:109">
      <c r="A97" s="108">
        <v>90</v>
      </c>
      <c r="B97" s="108" t="str">
        <f t="shared" si="51"/>
        <v>α leo</v>
      </c>
      <c r="C97" s="108">
        <f t="shared" si="52"/>
        <v>0</v>
      </c>
      <c r="F97" s="108" t="s">
        <v>108</v>
      </c>
      <c r="M97" s="108" t="s">
        <v>781</v>
      </c>
      <c r="N97" s="108" t="s">
        <v>108</v>
      </c>
      <c r="R97" s="108" t="s">
        <v>782</v>
      </c>
      <c r="S97" s="108" t="s">
        <v>774</v>
      </c>
      <c r="T97" s="108" t="str">
        <f t="shared" si="33"/>
        <v>α</v>
      </c>
      <c r="U97" s="108" t="str">
        <f t="shared" si="34"/>
        <v/>
      </c>
      <c r="X97" s="108" t="s">
        <v>783</v>
      </c>
      <c r="Y97" s="108" t="s">
        <v>113</v>
      </c>
      <c r="AR97" s="7" t="s">
        <v>3518</v>
      </c>
      <c r="AS97" s="4">
        <v>31</v>
      </c>
      <c r="AW97" s="1" t="s">
        <v>3871</v>
      </c>
      <c r="CL97" s="108" t="s">
        <v>3930</v>
      </c>
      <c r="CM97" s="108">
        <f ca="1">COS(RADIANS(CM90))</f>
        <v>0.97862074225237972</v>
      </c>
      <c r="DD97" s="108" t="s">
        <v>3690</v>
      </c>
      <c r="DE97" s="108">
        <f ca="1">360-DE94</f>
        <v>307.06074194237732</v>
      </c>
    </row>
    <row r="98" spans="1:109">
      <c r="A98" s="108">
        <v>91</v>
      </c>
      <c r="B98" s="108" t="str">
        <f t="shared" si="51"/>
        <v>α leo</v>
      </c>
      <c r="C98" s="108">
        <f t="shared" si="52"/>
        <v>0</v>
      </c>
      <c r="F98" s="108" t="s">
        <v>784</v>
      </c>
      <c r="G98" s="108">
        <v>15</v>
      </c>
      <c r="H98" s="108">
        <v>3</v>
      </c>
      <c r="I98" s="108">
        <v>47.3</v>
      </c>
      <c r="J98" s="108">
        <v>47</v>
      </c>
      <c r="K98" s="108">
        <v>39</v>
      </c>
      <c r="L98" s="108">
        <v>15</v>
      </c>
      <c r="M98" s="108" t="s">
        <v>785</v>
      </c>
      <c r="N98" s="108" t="s">
        <v>786</v>
      </c>
      <c r="R98" s="108" t="s">
        <v>787</v>
      </c>
      <c r="S98" s="108" t="s">
        <v>788</v>
      </c>
      <c r="T98" s="108" t="str">
        <f t="shared" si="33"/>
        <v>α</v>
      </c>
      <c r="U98" s="108" t="str">
        <f t="shared" si="34"/>
        <v/>
      </c>
      <c r="X98" s="108" t="s">
        <v>789</v>
      </c>
      <c r="Y98" s="108" t="s">
        <v>113</v>
      </c>
      <c r="AR98" s="7" t="s">
        <v>3462</v>
      </c>
      <c r="AS98" s="4">
        <v>32</v>
      </c>
      <c r="AW98" s="1" t="s">
        <v>3872</v>
      </c>
      <c r="DD98" s="108" t="s">
        <v>3691</v>
      </c>
      <c r="DE98" s="108">
        <f ca="1">IF(DE22&lt;DE92,DE96,DE97)</f>
        <v>307.06074194237732</v>
      </c>
    </row>
    <row r="99" spans="1:109">
      <c r="A99" s="108">
        <v>92</v>
      </c>
      <c r="B99" s="108" t="str">
        <f t="shared" si="51"/>
        <v>α leo</v>
      </c>
      <c r="C99" s="108">
        <f t="shared" si="52"/>
        <v>0</v>
      </c>
      <c r="F99" s="108" t="s">
        <v>790</v>
      </c>
      <c r="G99" s="108">
        <v>14</v>
      </c>
      <c r="H99" s="108">
        <v>15</v>
      </c>
      <c r="I99" s="108">
        <v>39.700000000000003</v>
      </c>
      <c r="J99" s="108">
        <v>19</v>
      </c>
      <c r="K99" s="108">
        <v>10</v>
      </c>
      <c r="L99" s="108">
        <v>57</v>
      </c>
      <c r="M99" s="108" t="s">
        <v>791</v>
      </c>
      <c r="N99" s="108" t="s">
        <v>790</v>
      </c>
      <c r="R99" s="108" t="s">
        <v>792</v>
      </c>
      <c r="S99" s="108" t="s">
        <v>788</v>
      </c>
      <c r="T99" s="108" t="str">
        <f t="shared" si="33"/>
        <v>α</v>
      </c>
      <c r="U99" s="108" t="str">
        <f t="shared" si="34"/>
        <v/>
      </c>
      <c r="X99" s="108" t="s">
        <v>793</v>
      </c>
      <c r="Y99" s="108" t="s">
        <v>113</v>
      </c>
      <c r="AR99" s="7" t="s">
        <v>75</v>
      </c>
      <c r="AS99" s="4"/>
      <c r="AW99" s="1" t="s">
        <v>3873</v>
      </c>
      <c r="CL99" s="109" t="s">
        <v>3824</v>
      </c>
      <c r="DD99" s="108" t="s">
        <v>3692</v>
      </c>
      <c r="DE99" s="108">
        <f ca="1">DE98-360</f>
        <v>-52.939258057622681</v>
      </c>
    </row>
    <row r="100" spans="1:109">
      <c r="A100" s="108">
        <v>93</v>
      </c>
      <c r="B100" s="108" t="str">
        <f t="shared" si="51"/>
        <v>α leo</v>
      </c>
      <c r="C100" s="108">
        <f t="shared" si="52"/>
        <v>0</v>
      </c>
      <c r="F100" s="108" t="s">
        <v>794</v>
      </c>
      <c r="G100" s="108">
        <v>15</v>
      </c>
      <c r="H100" s="108">
        <v>1</v>
      </c>
      <c r="I100" s="108">
        <v>56.8</v>
      </c>
      <c r="J100" s="108">
        <v>40</v>
      </c>
      <c r="K100" s="108">
        <v>23</v>
      </c>
      <c r="L100" s="108">
        <v>26</v>
      </c>
      <c r="M100" s="108" t="s">
        <v>795</v>
      </c>
      <c r="N100" s="108" t="s">
        <v>794</v>
      </c>
      <c r="R100" s="108" t="s">
        <v>796</v>
      </c>
      <c r="S100" s="108" t="s">
        <v>788</v>
      </c>
      <c r="T100" s="108" t="str">
        <f t="shared" si="33"/>
        <v>α</v>
      </c>
      <c r="U100" s="108" t="str">
        <f t="shared" si="34"/>
        <v/>
      </c>
      <c r="X100" s="108" t="s">
        <v>797</v>
      </c>
      <c r="Y100" s="108" t="s">
        <v>113</v>
      </c>
      <c r="AR100" s="55" t="s">
        <v>3459</v>
      </c>
      <c r="AS100" s="4" t="s">
        <v>4018</v>
      </c>
      <c r="AW100" s="1" t="s">
        <v>3894</v>
      </c>
      <c r="CL100" s="108" t="s">
        <v>3740</v>
      </c>
      <c r="CM100" s="108">
        <f>CM88-2000</f>
        <v>20</v>
      </c>
      <c r="DD100" s="108" t="s">
        <v>3993</v>
      </c>
      <c r="DE100" s="108">
        <f ca="1" xml:space="preserve"> IF(DE22&lt;DE93,DE99,DE96)</f>
        <v>-52.939258057622681</v>
      </c>
    </row>
    <row r="101" spans="1:109">
      <c r="A101" s="108">
        <v>94</v>
      </c>
      <c r="B101" s="108" t="str">
        <f t="shared" si="51"/>
        <v>α leo</v>
      </c>
      <c r="C101" s="108">
        <f t="shared" si="52"/>
        <v>0</v>
      </c>
      <c r="F101" s="108" t="s">
        <v>798</v>
      </c>
      <c r="G101" s="108">
        <v>14</v>
      </c>
      <c r="H101" s="108">
        <v>32</v>
      </c>
      <c r="I101" s="108">
        <v>4.7</v>
      </c>
      <c r="J101" s="108">
        <v>38</v>
      </c>
      <c r="K101" s="108">
        <v>18</v>
      </c>
      <c r="L101" s="108">
        <v>30</v>
      </c>
      <c r="M101" s="108" t="s">
        <v>799</v>
      </c>
      <c r="N101" s="108" t="s">
        <v>798</v>
      </c>
      <c r="R101" s="108" t="s">
        <v>800</v>
      </c>
      <c r="S101" s="108" t="s">
        <v>801</v>
      </c>
      <c r="T101" s="108" t="str">
        <f t="shared" si="33"/>
        <v>α</v>
      </c>
      <c r="U101" s="108" t="str">
        <f t="shared" si="34"/>
        <v/>
      </c>
      <c r="X101" s="108" t="s">
        <v>116</v>
      </c>
      <c r="Y101" s="108" t="s">
        <v>113</v>
      </c>
      <c r="CL101" s="108" t="s">
        <v>3825</v>
      </c>
      <c r="CM101" s="108">
        <f>CM100*50.26</f>
        <v>1005.1999999999999</v>
      </c>
      <c r="DD101" s="108" t="s">
        <v>3994</v>
      </c>
      <c r="DE101" s="108">
        <f ca="1">IF(DE70&gt;180,DE100,DE98)</f>
        <v>307.06074194237732</v>
      </c>
    </row>
    <row r="102" spans="1:109">
      <c r="A102" s="108">
        <v>95</v>
      </c>
      <c r="B102" s="108" t="str">
        <f t="shared" si="51"/>
        <v>α leo</v>
      </c>
      <c r="C102" s="108">
        <f t="shared" si="52"/>
        <v>0</v>
      </c>
      <c r="F102" s="108" t="s">
        <v>802</v>
      </c>
      <c r="G102" s="108">
        <v>15</v>
      </c>
      <c r="H102" s="108">
        <v>15</v>
      </c>
      <c r="I102" s="108">
        <v>30.2</v>
      </c>
      <c r="J102" s="108">
        <v>33</v>
      </c>
      <c r="K102" s="108">
        <v>18</v>
      </c>
      <c r="L102" s="108">
        <v>53</v>
      </c>
      <c r="M102" s="108" t="s">
        <v>803</v>
      </c>
      <c r="N102" s="108" t="s">
        <v>802</v>
      </c>
      <c r="R102" s="108" t="s">
        <v>804</v>
      </c>
      <c r="S102" s="108" t="s">
        <v>805</v>
      </c>
      <c r="T102" s="108" t="str">
        <f t="shared" si="33"/>
        <v>α</v>
      </c>
      <c r="U102" s="108" t="str">
        <f t="shared" si="34"/>
        <v/>
      </c>
      <c r="X102" s="108" t="s">
        <v>806</v>
      </c>
      <c r="Y102" s="108" t="s">
        <v>333</v>
      </c>
      <c r="CL102" s="108" t="s">
        <v>3995</v>
      </c>
      <c r="CM102" s="108">
        <f>CM101/3600</f>
        <v>0.27922222222222221</v>
      </c>
    </row>
    <row r="103" spans="1:109">
      <c r="A103" s="108">
        <v>96</v>
      </c>
      <c r="B103" s="108" t="str">
        <f t="shared" si="51"/>
        <v>α leo</v>
      </c>
      <c r="C103" s="108">
        <f t="shared" si="52"/>
        <v>0</v>
      </c>
      <c r="F103" s="108" t="s">
        <v>807</v>
      </c>
      <c r="G103" s="108">
        <v>14</v>
      </c>
      <c r="H103" s="108">
        <v>44</v>
      </c>
      <c r="I103" s="108">
        <v>59.2</v>
      </c>
      <c r="J103" s="108">
        <v>27</v>
      </c>
      <c r="K103" s="108">
        <v>4</v>
      </c>
      <c r="L103" s="108">
        <v>27</v>
      </c>
      <c r="M103" s="108" t="s">
        <v>808</v>
      </c>
      <c r="N103" s="108" t="s">
        <v>809</v>
      </c>
      <c r="R103" s="108" t="s">
        <v>810</v>
      </c>
      <c r="S103" s="108" t="s">
        <v>805</v>
      </c>
      <c r="T103" s="108" t="str">
        <f t="shared" si="33"/>
        <v>α</v>
      </c>
      <c r="U103" s="108" t="str">
        <f t="shared" si="34"/>
        <v/>
      </c>
      <c r="X103" s="108" t="s">
        <v>336</v>
      </c>
      <c r="Y103" s="108" t="s">
        <v>333</v>
      </c>
      <c r="CL103" s="108" t="s">
        <v>3996</v>
      </c>
      <c r="CM103" s="108">
        <f>SIN(RADIANS(CM102))</f>
        <v>4.8733278325998235E-3</v>
      </c>
      <c r="DD103" s="109" t="s">
        <v>3997</v>
      </c>
    </row>
    <row r="104" spans="1:109">
      <c r="A104" s="108">
        <v>97</v>
      </c>
      <c r="B104" s="108" t="str">
        <f t="shared" si="51"/>
        <v>α leo</v>
      </c>
      <c r="C104" s="108">
        <f t="shared" si="52"/>
        <v>0</v>
      </c>
      <c r="F104" s="108" t="s">
        <v>811</v>
      </c>
      <c r="G104" s="108">
        <v>14</v>
      </c>
      <c r="H104" s="108">
        <v>41</v>
      </c>
      <c r="I104" s="108">
        <v>9</v>
      </c>
      <c r="J104" s="108">
        <v>13</v>
      </c>
      <c r="K104" s="108">
        <v>43</v>
      </c>
      <c r="L104" s="108">
        <v>42</v>
      </c>
      <c r="M104" s="108" t="s">
        <v>812</v>
      </c>
      <c r="N104" s="108" t="s">
        <v>811</v>
      </c>
      <c r="X104" s="108" t="s">
        <v>813</v>
      </c>
      <c r="Y104" s="108" t="s">
        <v>120</v>
      </c>
      <c r="CL104" s="108" t="s">
        <v>3826</v>
      </c>
      <c r="CM104" s="108">
        <f>CM91*CM103</f>
        <v>1.9393341408963831E-3</v>
      </c>
      <c r="DD104" s="108" t="s">
        <v>3683</v>
      </c>
      <c r="DE104" s="108">
        <f>DE82</f>
        <v>-37</v>
      </c>
    </row>
    <row r="105" spans="1:109">
      <c r="A105" s="108">
        <v>98</v>
      </c>
      <c r="B105" s="108" t="str">
        <f t="shared" si="51"/>
        <v>α leo</v>
      </c>
      <c r="C105" s="108">
        <f t="shared" si="52"/>
        <v>0</v>
      </c>
      <c r="F105" s="108" t="s">
        <v>814</v>
      </c>
      <c r="G105" s="108">
        <v>13</v>
      </c>
      <c r="H105" s="108">
        <v>54</v>
      </c>
      <c r="I105" s="108">
        <v>41</v>
      </c>
      <c r="J105" s="108">
        <v>18</v>
      </c>
      <c r="K105" s="108">
        <v>23</v>
      </c>
      <c r="L105" s="108">
        <v>52</v>
      </c>
      <c r="M105" s="108" t="s">
        <v>815</v>
      </c>
      <c r="N105" s="108" t="s">
        <v>814</v>
      </c>
      <c r="X105" s="108" t="s">
        <v>123</v>
      </c>
      <c r="Y105" s="108" t="s">
        <v>120</v>
      </c>
      <c r="CL105" s="108" t="s">
        <v>3827</v>
      </c>
      <c r="CM105" s="108">
        <f>CM104*CM94</f>
        <v>9.0768414464058875E-4</v>
      </c>
      <c r="DD105" s="108" t="s">
        <v>3693</v>
      </c>
      <c r="DE105" s="108">
        <f ca="1">IF(DE69&lt;0,DE69,0)</f>
        <v>0</v>
      </c>
    </row>
    <row r="106" spans="1:109" ht="18">
      <c r="A106" s="108">
        <v>99</v>
      </c>
      <c r="B106" s="108" t="str">
        <f t="shared" si="51"/>
        <v>α leo</v>
      </c>
      <c r="C106" s="108">
        <f t="shared" si="52"/>
        <v>0</v>
      </c>
      <c r="F106" s="108" t="s">
        <v>816</v>
      </c>
      <c r="G106" s="108">
        <v>14</v>
      </c>
      <c r="H106" s="108">
        <v>25</v>
      </c>
      <c r="I106" s="108">
        <v>11.8</v>
      </c>
      <c r="J106" s="108">
        <v>51</v>
      </c>
      <c r="K106" s="108">
        <v>51</v>
      </c>
      <c r="L106" s="108">
        <v>3</v>
      </c>
      <c r="M106" s="108" t="s">
        <v>817</v>
      </c>
      <c r="N106" s="108" t="s">
        <v>816</v>
      </c>
      <c r="R106" s="108" t="s">
        <v>818</v>
      </c>
      <c r="T106" s="109" t="s">
        <v>49</v>
      </c>
      <c r="U106" s="109" t="s">
        <v>11</v>
      </c>
      <c r="X106" s="108" t="s">
        <v>819</v>
      </c>
      <c r="Y106" s="108" t="s">
        <v>190</v>
      </c>
      <c r="CL106" s="108" t="s">
        <v>3998</v>
      </c>
      <c r="CM106" s="108">
        <f>SQRT(1-(CM105^2))</f>
        <v>0.99999958805466194</v>
      </c>
      <c r="DD106" s="108" t="s">
        <v>3999</v>
      </c>
      <c r="DE106" s="109">
        <f ca="1">IF(DE105&gt;DE104,0,3)</f>
        <v>0</v>
      </c>
    </row>
    <row r="107" spans="1:109">
      <c r="A107" s="108">
        <v>100</v>
      </c>
      <c r="B107" s="108" t="str">
        <f t="shared" si="51"/>
        <v>α leo</v>
      </c>
      <c r="C107" s="108">
        <f t="shared" si="52"/>
        <v>0</v>
      </c>
      <c r="F107" s="108" t="s">
        <v>820</v>
      </c>
      <c r="G107" s="108">
        <v>14</v>
      </c>
      <c r="H107" s="108">
        <v>16</v>
      </c>
      <c r="I107" s="108">
        <v>9.9</v>
      </c>
      <c r="J107" s="108">
        <v>51</v>
      </c>
      <c r="K107" s="108">
        <v>22</v>
      </c>
      <c r="L107" s="108">
        <v>2</v>
      </c>
      <c r="M107" s="108" t="s">
        <v>821</v>
      </c>
      <c r="N107" s="108" t="s">
        <v>822</v>
      </c>
      <c r="R107" s="108" t="s">
        <v>1</v>
      </c>
      <c r="T107" s="108" t="str">
        <f>T103</f>
        <v>α</v>
      </c>
      <c r="U107" s="108" t="str">
        <f>U103</f>
        <v/>
      </c>
      <c r="X107" s="108" t="s">
        <v>823</v>
      </c>
      <c r="Y107" s="108" t="s">
        <v>190</v>
      </c>
      <c r="CL107" s="108" t="s">
        <v>3828</v>
      </c>
      <c r="CM107" s="108">
        <f ca="1">CM96*CM105/CM106</f>
        <v>1.866863301714062E-4</v>
      </c>
      <c r="DD107" s="108" t="s">
        <v>4000</v>
      </c>
      <c r="DE107" s="108">
        <f ca="1">IF(DE106=3,DE61,0)</f>
        <v>0</v>
      </c>
    </row>
    <row r="108" spans="1:109">
      <c r="A108" s="108">
        <v>101</v>
      </c>
      <c r="B108" s="108" t="str">
        <f t="shared" si="51"/>
        <v>α leo</v>
      </c>
      <c r="C108" s="108">
        <f t="shared" si="52"/>
        <v>0</v>
      </c>
      <c r="F108" s="108" t="s">
        <v>824</v>
      </c>
      <c r="G108" s="108">
        <v>14</v>
      </c>
      <c r="H108" s="108">
        <v>13</v>
      </c>
      <c r="I108" s="108">
        <v>29</v>
      </c>
      <c r="J108" s="108">
        <v>51</v>
      </c>
      <c r="K108" s="108">
        <v>47</v>
      </c>
      <c r="L108" s="108">
        <v>24</v>
      </c>
      <c r="M108" s="108" t="s">
        <v>825</v>
      </c>
      <c r="N108" s="108" t="s">
        <v>826</v>
      </c>
      <c r="R108" s="108" t="s">
        <v>827</v>
      </c>
      <c r="S108" s="108" t="s">
        <v>828</v>
      </c>
      <c r="T108" s="108" t="str">
        <f>IF(T107=R108,S108,T107)</f>
        <v>α</v>
      </c>
      <c r="U108" s="108" t="str">
        <f>IF(U107=R108,S108,U107)</f>
        <v/>
      </c>
      <c r="X108" s="108" t="s">
        <v>829</v>
      </c>
      <c r="Y108" s="108" t="s">
        <v>190</v>
      </c>
      <c r="CL108" s="108" t="s">
        <v>3829</v>
      </c>
      <c r="CM108" s="108">
        <f ca="1">CM107/CM97</f>
        <v>1.9076473868899566E-4</v>
      </c>
      <c r="DD108" s="108" t="s">
        <v>3694</v>
      </c>
      <c r="DE108" s="108">
        <f ca="1">180+DE107</f>
        <v>180</v>
      </c>
    </row>
    <row r="109" spans="1:109">
      <c r="A109" s="108">
        <v>102</v>
      </c>
      <c r="B109" s="108" t="str">
        <f t="shared" si="51"/>
        <v>α leo</v>
      </c>
      <c r="C109" s="108">
        <f t="shared" si="52"/>
        <v>0</v>
      </c>
      <c r="F109" s="108" t="s">
        <v>830</v>
      </c>
      <c r="G109" s="108">
        <v>14</v>
      </c>
      <c r="H109" s="108">
        <v>16</v>
      </c>
      <c r="I109" s="108">
        <v>23</v>
      </c>
      <c r="J109" s="108">
        <v>46</v>
      </c>
      <c r="K109" s="108">
        <v>5</v>
      </c>
      <c r="L109" s="108">
        <v>18</v>
      </c>
      <c r="M109" s="108" t="s">
        <v>831</v>
      </c>
      <c r="N109" s="108" t="s">
        <v>832</v>
      </c>
      <c r="R109" s="108" t="s">
        <v>833</v>
      </c>
      <c r="S109" s="108" t="s">
        <v>828</v>
      </c>
      <c r="T109" s="108" t="str">
        <f t="shared" ref="T109:T146" si="59">IF(T108=R109,S109,T108)</f>
        <v>α</v>
      </c>
      <c r="U109" s="108" t="str">
        <f t="shared" ref="U109:U146" si="60">IF(U108=R109,S109,U108)</f>
        <v/>
      </c>
      <c r="X109" s="108" t="s">
        <v>184</v>
      </c>
      <c r="Y109" s="108" t="s">
        <v>190</v>
      </c>
      <c r="BG109" s="108" t="s">
        <v>3878</v>
      </c>
      <c r="BH109" s="108">
        <v>1253425</v>
      </c>
      <c r="CL109" s="108" t="s">
        <v>3830</v>
      </c>
      <c r="CM109" s="108">
        <f ca="1">DEGREES(ASIN(RADIANS(DEGREES(CM108))))</f>
        <v>1.0930014473088157E-2</v>
      </c>
    </row>
    <row r="110" spans="1:109">
      <c r="A110" s="108">
        <v>103</v>
      </c>
      <c r="B110" s="108" t="str">
        <f t="shared" si="51"/>
        <v>α leo</v>
      </c>
      <c r="C110" s="108">
        <f t="shared" si="52"/>
        <v>0</v>
      </c>
      <c r="F110" s="108" t="s">
        <v>834</v>
      </c>
      <c r="G110" s="108">
        <v>15</v>
      </c>
      <c r="H110" s="108">
        <v>24</v>
      </c>
      <c r="I110" s="108">
        <v>29.4</v>
      </c>
      <c r="J110" s="108">
        <v>37</v>
      </c>
      <c r="K110" s="108">
        <v>22</v>
      </c>
      <c r="L110" s="108">
        <v>38</v>
      </c>
      <c r="M110" s="108" t="s">
        <v>835</v>
      </c>
      <c r="N110" s="108" t="s">
        <v>836</v>
      </c>
      <c r="R110" s="108" t="s">
        <v>837</v>
      </c>
      <c r="S110" s="108" t="s">
        <v>828</v>
      </c>
      <c r="T110" s="108" t="str">
        <f t="shared" si="59"/>
        <v>α</v>
      </c>
      <c r="U110" s="108" t="str">
        <f t="shared" si="60"/>
        <v/>
      </c>
      <c r="X110" s="108" t="s">
        <v>838</v>
      </c>
      <c r="Y110" s="108" t="s">
        <v>195</v>
      </c>
      <c r="BG110" s="108" t="s">
        <v>3503</v>
      </c>
      <c r="BH110" s="108">
        <v>3254728</v>
      </c>
      <c r="CL110" s="108" t="s">
        <v>3831</v>
      </c>
      <c r="CM110" s="108">
        <f ca="1">CM109/15</f>
        <v>7.2866763153921048E-4</v>
      </c>
      <c r="DD110" s="108" t="s">
        <v>4001</v>
      </c>
      <c r="DE110" s="109">
        <f ca="1">DE106+DE84+DE74</f>
        <v>2</v>
      </c>
    </row>
    <row r="111" spans="1:109">
      <c r="A111" s="108">
        <v>104</v>
      </c>
      <c r="B111" s="108" t="str">
        <f t="shared" si="51"/>
        <v>α leo</v>
      </c>
      <c r="C111" s="108">
        <f t="shared" si="52"/>
        <v>0</v>
      </c>
      <c r="F111" s="108" t="s">
        <v>839</v>
      </c>
      <c r="G111" s="108">
        <v>14</v>
      </c>
      <c r="H111" s="108">
        <v>51</v>
      </c>
      <c r="I111" s="108">
        <v>23.4</v>
      </c>
      <c r="J111" s="108">
        <v>19</v>
      </c>
      <c r="K111" s="108">
        <v>6</v>
      </c>
      <c r="L111" s="108">
        <v>2</v>
      </c>
      <c r="M111" s="108" t="s">
        <v>840</v>
      </c>
      <c r="N111" s="108" t="s">
        <v>841</v>
      </c>
      <c r="R111" s="108" t="s">
        <v>842</v>
      </c>
      <c r="S111" s="108" t="s">
        <v>843</v>
      </c>
      <c r="T111" s="108" t="str">
        <f t="shared" si="59"/>
        <v>α</v>
      </c>
      <c r="U111" s="108" t="str">
        <f t="shared" si="60"/>
        <v/>
      </c>
      <c r="X111" s="108" t="s">
        <v>198</v>
      </c>
      <c r="Y111" s="108" t="s">
        <v>195</v>
      </c>
      <c r="BG111" s="108" t="s">
        <v>3532</v>
      </c>
      <c r="BH111" s="108">
        <v>2754681</v>
      </c>
      <c r="CL111" s="108" t="s">
        <v>3835</v>
      </c>
      <c r="CM111" s="108">
        <f ca="1">CM109*-1</f>
        <v>-1.0930014473088157E-2</v>
      </c>
      <c r="DD111" s="108" t="s">
        <v>3695</v>
      </c>
    </row>
    <row r="112" spans="1:109">
      <c r="A112" s="108">
        <v>105</v>
      </c>
      <c r="B112" s="108" t="str">
        <f t="shared" si="51"/>
        <v>α leo</v>
      </c>
      <c r="C112" s="108">
        <f t="shared" si="52"/>
        <v>0</v>
      </c>
      <c r="F112" s="108" t="s">
        <v>844</v>
      </c>
      <c r="G112" s="108">
        <v>14</v>
      </c>
      <c r="H112" s="108">
        <v>45</v>
      </c>
      <c r="I112" s="108">
        <v>14.5</v>
      </c>
      <c r="J112" s="108">
        <v>16</v>
      </c>
      <c r="K112" s="108">
        <v>57</v>
      </c>
      <c r="L112" s="108">
        <v>51</v>
      </c>
      <c r="M112" s="108" t="s">
        <v>845</v>
      </c>
      <c r="N112" s="108" t="s">
        <v>846</v>
      </c>
      <c r="R112" s="108" t="s">
        <v>847</v>
      </c>
      <c r="S112" s="108" t="s">
        <v>843</v>
      </c>
      <c r="T112" s="108" t="str">
        <f t="shared" si="59"/>
        <v>α</v>
      </c>
      <c r="U112" s="108" t="str">
        <f t="shared" si="60"/>
        <v/>
      </c>
      <c r="X112" s="108" t="s">
        <v>848</v>
      </c>
      <c r="Y112" s="108" t="s">
        <v>216</v>
      </c>
      <c r="BG112" s="108" t="s">
        <v>3505</v>
      </c>
      <c r="BH112" s="108">
        <v>2148169</v>
      </c>
      <c r="CL112" s="108" t="s">
        <v>3832</v>
      </c>
      <c r="CM112" s="108">
        <f ca="1">-1*CM110</f>
        <v>-7.2866763153921048E-4</v>
      </c>
      <c r="DD112" s="108" t="s">
        <v>3696</v>
      </c>
      <c r="DE112" s="108" t="s">
        <v>3697</v>
      </c>
    </row>
    <row r="113" spans="1:109">
      <c r="A113" s="108">
        <v>106</v>
      </c>
      <c r="B113" s="108" t="str">
        <f t="shared" si="51"/>
        <v>α leo</v>
      </c>
      <c r="C113" s="108">
        <f t="shared" si="52"/>
        <v>0</v>
      </c>
      <c r="F113" s="108" t="s">
        <v>849</v>
      </c>
      <c r="G113" s="108">
        <v>14</v>
      </c>
      <c r="H113" s="108">
        <v>40</v>
      </c>
      <c r="I113" s="108">
        <v>43.6</v>
      </c>
      <c r="J113" s="108">
        <v>16</v>
      </c>
      <c r="K113" s="108">
        <v>25</v>
      </c>
      <c r="L113" s="108">
        <v>6</v>
      </c>
      <c r="M113" s="108" t="s">
        <v>850</v>
      </c>
      <c r="N113" s="108" t="s">
        <v>851</v>
      </c>
      <c r="R113" s="108" t="s">
        <v>852</v>
      </c>
      <c r="S113" s="108" t="s">
        <v>853</v>
      </c>
      <c r="T113" s="108" t="str">
        <f t="shared" si="59"/>
        <v>α</v>
      </c>
      <c r="U113" s="108" t="str">
        <f t="shared" si="60"/>
        <v/>
      </c>
      <c r="X113" s="108" t="s">
        <v>219</v>
      </c>
      <c r="Y113" s="108" t="s">
        <v>216</v>
      </c>
      <c r="BG113" s="108" t="s">
        <v>3465</v>
      </c>
      <c r="BH113" s="108">
        <f>BH109+BH110+BH111+BH112</f>
        <v>9411003</v>
      </c>
      <c r="CL113" s="108" t="s">
        <v>3836</v>
      </c>
      <c r="DD113" s="108">
        <f ca="1">DE79</f>
        <v>360</v>
      </c>
      <c r="DE113" s="109">
        <v>1</v>
      </c>
    </row>
    <row r="114" spans="1:109">
      <c r="A114" s="108">
        <v>107</v>
      </c>
      <c r="B114" s="108" t="str">
        <f t="shared" si="51"/>
        <v>α leo</v>
      </c>
      <c r="C114" s="108">
        <f t="shared" si="52"/>
        <v>0</v>
      </c>
      <c r="F114" s="108" t="s">
        <v>854</v>
      </c>
      <c r="G114" s="108">
        <v>14</v>
      </c>
      <c r="H114" s="108">
        <v>31</v>
      </c>
      <c r="I114" s="108">
        <v>49.8</v>
      </c>
      <c r="J114" s="108">
        <v>30</v>
      </c>
      <c r="K114" s="108">
        <v>22</v>
      </c>
      <c r="L114" s="108">
        <v>17</v>
      </c>
      <c r="M114" s="108" t="s">
        <v>855</v>
      </c>
      <c r="N114" s="108" t="s">
        <v>856</v>
      </c>
      <c r="R114" s="108" t="s">
        <v>857</v>
      </c>
      <c r="S114" s="108" t="s">
        <v>853</v>
      </c>
      <c r="T114" s="108" t="str">
        <f t="shared" si="59"/>
        <v>α</v>
      </c>
      <c r="U114" s="108" t="str">
        <f t="shared" si="60"/>
        <v/>
      </c>
      <c r="X114" s="108" t="s">
        <v>858</v>
      </c>
      <c r="Y114" s="108" t="s">
        <v>206</v>
      </c>
      <c r="DD114" s="108">
        <f ca="1">DE101</f>
        <v>307.06074194237732</v>
      </c>
      <c r="DE114" s="109">
        <v>2</v>
      </c>
    </row>
    <row r="115" spans="1:109">
      <c r="A115" s="108">
        <v>108</v>
      </c>
      <c r="B115" s="108" t="str">
        <f t="shared" si="51"/>
        <v>α leo</v>
      </c>
      <c r="C115" s="108">
        <f t="shared" si="52"/>
        <v>0</v>
      </c>
      <c r="F115" s="108" t="s">
        <v>859</v>
      </c>
      <c r="G115" s="108">
        <v>13</v>
      </c>
      <c r="H115" s="108">
        <v>34</v>
      </c>
      <c r="I115" s="108">
        <v>40.799999999999997</v>
      </c>
      <c r="J115" s="108">
        <v>29</v>
      </c>
      <c r="K115" s="108">
        <v>44</v>
      </c>
      <c r="L115" s="108">
        <v>42</v>
      </c>
      <c r="M115" s="108" t="s">
        <v>860</v>
      </c>
      <c r="N115" s="108" t="s">
        <v>861</v>
      </c>
      <c r="R115" s="108" t="s">
        <v>862</v>
      </c>
      <c r="S115" s="108" t="s">
        <v>853</v>
      </c>
      <c r="T115" s="108" t="str">
        <f t="shared" si="59"/>
        <v>α</v>
      </c>
      <c r="U115" s="108" t="str">
        <f t="shared" si="60"/>
        <v/>
      </c>
      <c r="X115" s="108" t="s">
        <v>863</v>
      </c>
      <c r="Y115" s="108" t="s">
        <v>206</v>
      </c>
      <c r="CL115" s="109" t="s">
        <v>3840</v>
      </c>
      <c r="CM115" s="108">
        <f ca="1">CM112+CM82</f>
        <v>8.7633588378957263</v>
      </c>
      <c r="DD115" s="108">
        <f ca="1">DE108</f>
        <v>180</v>
      </c>
      <c r="DE115" s="109">
        <v>3</v>
      </c>
    </row>
    <row r="116" spans="1:109">
      <c r="A116" s="108">
        <v>109</v>
      </c>
      <c r="B116" s="108" t="str">
        <f t="shared" si="51"/>
        <v>α leo</v>
      </c>
      <c r="C116" s="108">
        <f t="shared" si="52"/>
        <v>0</v>
      </c>
      <c r="F116" s="108" t="s">
        <v>864</v>
      </c>
      <c r="G116" s="108">
        <v>13</v>
      </c>
      <c r="H116" s="108">
        <v>47</v>
      </c>
      <c r="I116" s="108">
        <v>15.7</v>
      </c>
      <c r="J116" s="108">
        <v>17</v>
      </c>
      <c r="K116" s="108">
        <v>27</v>
      </c>
      <c r="L116" s="108">
        <v>25</v>
      </c>
      <c r="M116" s="108" t="s">
        <v>865</v>
      </c>
      <c r="N116" s="108" t="s">
        <v>866</v>
      </c>
      <c r="R116" s="108" t="s">
        <v>867</v>
      </c>
      <c r="S116" s="108" t="s">
        <v>868</v>
      </c>
      <c r="T116" s="108" t="str">
        <f t="shared" si="59"/>
        <v>α</v>
      </c>
      <c r="U116" s="108" t="str">
        <f t="shared" si="60"/>
        <v/>
      </c>
      <c r="X116" s="108" t="s">
        <v>869</v>
      </c>
      <c r="Y116" s="108" t="s">
        <v>206</v>
      </c>
      <c r="CL116" s="109" t="s">
        <v>16</v>
      </c>
      <c r="CM116" s="108">
        <f ca="1">CM83+CM112</f>
        <v>131.46058391527745</v>
      </c>
      <c r="DD116" s="109" t="s">
        <v>3659</v>
      </c>
      <c r="DE116" s="109">
        <f ca="1">LOOKUP(DE110,(DE113:DE115),(DD113:DD115))</f>
        <v>307.06074194237732</v>
      </c>
    </row>
    <row r="117" spans="1:109">
      <c r="A117" s="108">
        <v>110</v>
      </c>
      <c r="B117" s="108" t="str">
        <f t="shared" si="51"/>
        <v>α leo</v>
      </c>
      <c r="C117" s="108">
        <f t="shared" si="52"/>
        <v>0</v>
      </c>
      <c r="F117" s="108" t="s">
        <v>870</v>
      </c>
      <c r="G117" s="108">
        <v>13</v>
      </c>
      <c r="H117" s="108">
        <v>49</v>
      </c>
      <c r="I117" s="108">
        <v>28.6</v>
      </c>
      <c r="J117" s="108">
        <v>15</v>
      </c>
      <c r="K117" s="108">
        <v>47</v>
      </c>
      <c r="L117" s="108">
        <v>52</v>
      </c>
      <c r="M117" s="108" t="s">
        <v>871</v>
      </c>
      <c r="N117" s="108" t="s">
        <v>872</v>
      </c>
      <c r="R117" s="108" t="s">
        <v>873</v>
      </c>
      <c r="S117" s="108" t="s">
        <v>868</v>
      </c>
      <c r="T117" s="108" t="str">
        <f t="shared" si="59"/>
        <v>α</v>
      </c>
      <c r="U117" s="108" t="str">
        <f t="shared" si="60"/>
        <v/>
      </c>
      <c r="X117" s="108" t="s">
        <v>209</v>
      </c>
      <c r="Y117" s="108" t="s">
        <v>206</v>
      </c>
    </row>
    <row r="118" spans="1:109">
      <c r="A118" s="108">
        <v>111</v>
      </c>
      <c r="B118" s="108" t="str">
        <f t="shared" si="51"/>
        <v>α leo</v>
      </c>
      <c r="C118" s="108">
        <f t="shared" si="52"/>
        <v>0</v>
      </c>
      <c r="F118" s="108" t="s">
        <v>84</v>
      </c>
      <c r="M118" s="108" t="s">
        <v>874</v>
      </c>
      <c r="N118" s="108" t="s">
        <v>84</v>
      </c>
      <c r="R118" s="108" t="s">
        <v>875</v>
      </c>
      <c r="S118" s="108" t="s">
        <v>868</v>
      </c>
      <c r="T118" s="108" t="str">
        <f t="shared" si="59"/>
        <v>α</v>
      </c>
      <c r="U118" s="108" t="str">
        <f t="shared" si="60"/>
        <v/>
      </c>
      <c r="X118" s="108" t="s">
        <v>876</v>
      </c>
      <c r="Y118" s="108" t="s">
        <v>242</v>
      </c>
      <c r="CL118" s="109" t="s">
        <v>3839</v>
      </c>
      <c r="DD118" s="109" t="s">
        <v>3698</v>
      </c>
    </row>
    <row r="119" spans="1:109">
      <c r="A119" s="108">
        <v>112</v>
      </c>
      <c r="B119" s="108" t="str">
        <f t="shared" si="51"/>
        <v>α leo</v>
      </c>
      <c r="C119" s="108">
        <f t="shared" si="52"/>
        <v>0</v>
      </c>
      <c r="F119" s="108" t="s">
        <v>353</v>
      </c>
      <c r="M119" s="108" t="s">
        <v>877</v>
      </c>
      <c r="N119" s="108" t="s">
        <v>352</v>
      </c>
      <c r="R119" s="108" t="s">
        <v>878</v>
      </c>
      <c r="S119" s="108" t="s">
        <v>879</v>
      </c>
      <c r="T119" s="108" t="str">
        <f t="shared" si="59"/>
        <v>α</v>
      </c>
      <c r="U119" s="108" t="str">
        <f t="shared" si="60"/>
        <v/>
      </c>
      <c r="X119" s="108" t="s">
        <v>880</v>
      </c>
      <c r="Y119" s="108" t="s">
        <v>242</v>
      </c>
      <c r="CL119" s="109" t="s">
        <v>3845</v>
      </c>
      <c r="CM119" s="108">
        <f ca="1">CM115</f>
        <v>8.7633588378957263</v>
      </c>
      <c r="DD119" s="108" t="s">
        <v>3699</v>
      </c>
      <c r="DE119" s="108">
        <f ca="1">DE45*DE43</f>
        <v>0.12377718889916389</v>
      </c>
    </row>
    <row r="120" spans="1:109">
      <c r="A120" s="108">
        <v>113</v>
      </c>
      <c r="B120" s="108" t="str">
        <f t="shared" si="51"/>
        <v>α leo</v>
      </c>
      <c r="C120" s="108">
        <f t="shared" si="52"/>
        <v>0</v>
      </c>
      <c r="F120" s="108" t="s">
        <v>606</v>
      </c>
      <c r="M120" s="108" t="s">
        <v>881</v>
      </c>
      <c r="N120" s="108" t="s">
        <v>426</v>
      </c>
      <c r="R120" s="108" t="s">
        <v>882</v>
      </c>
      <c r="S120" s="108" t="s">
        <v>879</v>
      </c>
      <c r="T120" s="108" t="str">
        <f t="shared" si="59"/>
        <v>α</v>
      </c>
      <c r="U120" s="108" t="str">
        <f t="shared" si="60"/>
        <v/>
      </c>
      <c r="X120" s="108" t="s">
        <v>883</v>
      </c>
      <c r="Y120" s="108" t="s">
        <v>246</v>
      </c>
      <c r="AM120" s="3"/>
      <c r="AN120" s="3"/>
      <c r="AO120" s="3"/>
      <c r="AP120" s="3"/>
      <c r="AQ120" s="3"/>
      <c r="AR120" s="3"/>
      <c r="AS120" s="3"/>
      <c r="AT120" s="3"/>
      <c r="AV120" s="3"/>
      <c r="AW120" s="3"/>
      <c r="AX120" s="3"/>
      <c r="AY120" s="3"/>
      <c r="AZ120" s="3"/>
      <c r="BA120" s="3"/>
      <c r="BB120" s="3"/>
      <c r="BC120" s="3"/>
      <c r="CL120" s="108" t="s">
        <v>3844</v>
      </c>
      <c r="CM120" s="108">
        <f>0.000694444</f>
        <v>6.9444400000000001E-4</v>
      </c>
      <c r="DD120" s="108" t="s">
        <v>3700</v>
      </c>
      <c r="DE120" s="108">
        <f ca="1">DE44*DE48*DE46</f>
        <v>-0.51726455558044171</v>
      </c>
    </row>
    <row r="121" spans="1:109">
      <c r="A121" s="108">
        <v>114</v>
      </c>
      <c r="B121" s="108" t="str">
        <f t="shared" si="51"/>
        <v>α leo</v>
      </c>
      <c r="C121" s="108">
        <f t="shared" si="52"/>
        <v>0</v>
      </c>
      <c r="F121" s="108" t="s">
        <v>884</v>
      </c>
      <c r="G121" s="108">
        <v>23</v>
      </c>
      <c r="H121" s="108">
        <v>18</v>
      </c>
      <c r="I121" s="108">
        <v>49.4</v>
      </c>
      <c r="J121" s="108">
        <v>-32</v>
      </c>
      <c r="K121" s="108">
        <v>-31</v>
      </c>
      <c r="L121" s="108">
        <v>-55</v>
      </c>
      <c r="M121" s="108" t="s">
        <v>885</v>
      </c>
      <c r="N121" s="108" t="s">
        <v>886</v>
      </c>
      <c r="R121" s="108" t="s">
        <v>887</v>
      </c>
      <c r="S121" s="108" t="s">
        <v>888</v>
      </c>
      <c r="T121" s="108" t="str">
        <f t="shared" si="59"/>
        <v>α</v>
      </c>
      <c r="U121" s="108" t="str">
        <f t="shared" si="60"/>
        <v/>
      </c>
      <c r="X121" s="108" t="s">
        <v>889</v>
      </c>
      <c r="Y121" s="108" t="s">
        <v>246</v>
      </c>
      <c r="CL121" s="108" t="s">
        <v>3841</v>
      </c>
      <c r="CM121" s="108">
        <f ca="1">CM119-CM120</f>
        <v>8.7626643938957258</v>
      </c>
      <c r="DD121" s="108" t="s">
        <v>4002</v>
      </c>
      <c r="DE121" s="108">
        <f ca="1">DE120+DE119</f>
        <v>-0.39348736668127782</v>
      </c>
    </row>
    <row r="122" spans="1:109">
      <c r="A122" s="108">
        <v>115</v>
      </c>
      <c r="B122" s="108" t="str">
        <f t="shared" si="51"/>
        <v>α leo</v>
      </c>
      <c r="C122" s="108">
        <f t="shared" si="52"/>
        <v>0</v>
      </c>
      <c r="F122" s="108" t="s">
        <v>890</v>
      </c>
      <c r="G122" s="108">
        <v>23</v>
      </c>
      <c r="H122" s="108">
        <v>48</v>
      </c>
      <c r="I122" s="108">
        <v>55.5</v>
      </c>
      <c r="J122" s="108">
        <v>-28</v>
      </c>
      <c r="K122" s="108">
        <v>-7</v>
      </c>
      <c r="L122" s="108">
        <v>-50</v>
      </c>
      <c r="M122" s="108" t="s">
        <v>891</v>
      </c>
      <c r="N122" s="108" t="s">
        <v>892</v>
      </c>
      <c r="R122" s="108" t="s">
        <v>893</v>
      </c>
      <c r="S122" s="108" t="s">
        <v>888</v>
      </c>
      <c r="T122" s="108" t="str">
        <f t="shared" si="59"/>
        <v>α</v>
      </c>
      <c r="U122" s="108" t="str">
        <f t="shared" si="60"/>
        <v/>
      </c>
      <c r="X122" s="108" t="s">
        <v>894</v>
      </c>
      <c r="Y122" s="108" t="s">
        <v>246</v>
      </c>
      <c r="CL122" s="108" t="s">
        <v>3646</v>
      </c>
      <c r="CM122" s="108">
        <f ca="1">24+CM121</f>
        <v>32.762664393895726</v>
      </c>
      <c r="DD122" s="108" t="s">
        <v>4003</v>
      </c>
      <c r="DE122" s="108">
        <f ca="1">DEGREES(ASIN(RADIANS(DEGREES(DE121))))</f>
        <v>-23.17166833781301</v>
      </c>
    </row>
    <row r="123" spans="1:109">
      <c r="A123" s="108">
        <v>116</v>
      </c>
      <c r="B123" s="108" t="str">
        <f t="shared" si="51"/>
        <v>α leo</v>
      </c>
      <c r="C123" s="108">
        <f t="shared" si="52"/>
        <v>0</v>
      </c>
      <c r="F123" s="108" t="s">
        <v>477</v>
      </c>
      <c r="M123" s="108" t="s">
        <v>895</v>
      </c>
      <c r="N123" s="108" t="s">
        <v>447</v>
      </c>
      <c r="R123" s="108" t="s">
        <v>896</v>
      </c>
      <c r="S123" s="108" t="s">
        <v>897</v>
      </c>
      <c r="T123" s="108" t="str">
        <f t="shared" si="59"/>
        <v>α</v>
      </c>
      <c r="U123" s="108" t="str">
        <f t="shared" si="60"/>
        <v/>
      </c>
      <c r="X123" s="108" t="s">
        <v>247</v>
      </c>
      <c r="Y123" s="108" t="s">
        <v>246</v>
      </c>
      <c r="CL123" s="108" t="s">
        <v>3842</v>
      </c>
      <c r="CM123" s="108">
        <f ca="1">IF(CM121&lt;0,CM122,CM121)</f>
        <v>8.7626643938957258</v>
      </c>
    </row>
    <row r="124" spans="1:109">
      <c r="A124" s="108">
        <v>117</v>
      </c>
      <c r="B124" s="108" t="str">
        <f t="shared" si="51"/>
        <v>α leo</v>
      </c>
      <c r="C124" s="108">
        <f t="shared" si="52"/>
        <v>0</v>
      </c>
      <c r="F124" s="108" t="s">
        <v>298</v>
      </c>
      <c r="M124" s="108" t="s">
        <v>898</v>
      </c>
      <c r="N124" s="108" t="s">
        <v>296</v>
      </c>
      <c r="R124" s="108" t="s">
        <v>899</v>
      </c>
      <c r="S124" s="108" t="s">
        <v>897</v>
      </c>
      <c r="T124" s="108" t="str">
        <f t="shared" si="59"/>
        <v>α</v>
      </c>
      <c r="U124" s="108" t="str">
        <f t="shared" si="60"/>
        <v/>
      </c>
      <c r="X124" s="108" t="s">
        <v>900</v>
      </c>
      <c r="Y124" s="108" t="s">
        <v>269</v>
      </c>
      <c r="CL124" s="108" t="s">
        <v>3860</v>
      </c>
      <c r="CM124" s="108">
        <f ca="1">CM123-24</f>
        <v>-15.237335606104274</v>
      </c>
      <c r="DD124" s="109" t="s">
        <v>211</v>
      </c>
    </row>
    <row r="125" spans="1:109">
      <c r="A125" s="108">
        <v>118</v>
      </c>
      <c r="B125" s="108" t="str">
        <f t="shared" si="51"/>
        <v>α leo</v>
      </c>
      <c r="C125" s="108">
        <f t="shared" si="52"/>
        <v>0</v>
      </c>
      <c r="F125" s="108" t="s">
        <v>901</v>
      </c>
      <c r="G125" s="108">
        <v>20</v>
      </c>
      <c r="H125" s="108">
        <v>39</v>
      </c>
      <c r="I125" s="108">
        <v>38.299999999999997</v>
      </c>
      <c r="J125" s="108">
        <v>15</v>
      </c>
      <c r="K125" s="108">
        <v>54</v>
      </c>
      <c r="L125" s="108">
        <v>43</v>
      </c>
      <c r="M125" s="108" t="s">
        <v>902</v>
      </c>
      <c r="N125" s="108" t="s">
        <v>903</v>
      </c>
      <c r="R125" s="108" t="s">
        <v>904</v>
      </c>
      <c r="S125" s="108" t="s">
        <v>905</v>
      </c>
      <c r="T125" s="108" t="str">
        <f t="shared" si="59"/>
        <v>α</v>
      </c>
      <c r="U125" s="108" t="str">
        <f t="shared" si="60"/>
        <v/>
      </c>
      <c r="X125" s="108" t="s">
        <v>906</v>
      </c>
      <c r="Y125" s="108" t="s">
        <v>269</v>
      </c>
      <c r="CL125" s="108" t="s">
        <v>3861</v>
      </c>
      <c r="CM125" s="108">
        <f ca="1">IF(CM123&gt;24,CM124,CM123)</f>
        <v>8.7626643938957258</v>
      </c>
      <c r="DD125" s="108" t="s">
        <v>3718</v>
      </c>
    </row>
    <row r="126" spans="1:109">
      <c r="A126" s="108">
        <v>119</v>
      </c>
      <c r="B126" s="108" t="str">
        <f t="shared" si="51"/>
        <v>α leo</v>
      </c>
      <c r="C126" s="108">
        <f t="shared" si="52"/>
        <v>0</v>
      </c>
      <c r="F126" s="108" t="s">
        <v>907</v>
      </c>
      <c r="G126" s="108">
        <v>20</v>
      </c>
      <c r="H126" s="108">
        <v>37</v>
      </c>
      <c r="I126" s="108">
        <v>32.9</v>
      </c>
      <c r="J126" s="108">
        <v>14</v>
      </c>
      <c r="K126" s="108">
        <v>35</v>
      </c>
      <c r="L126" s="108">
        <v>42</v>
      </c>
      <c r="M126" s="108" t="s">
        <v>908</v>
      </c>
      <c r="N126" s="108" t="s">
        <v>909</v>
      </c>
      <c r="R126" s="108" t="s">
        <v>910</v>
      </c>
      <c r="S126" s="108" t="s">
        <v>905</v>
      </c>
      <c r="T126" s="108" t="str">
        <f t="shared" si="59"/>
        <v>α</v>
      </c>
      <c r="U126" s="108" t="str">
        <f t="shared" si="60"/>
        <v/>
      </c>
      <c r="X126" s="108" t="s">
        <v>911</v>
      </c>
      <c r="Y126" s="108" t="s">
        <v>269</v>
      </c>
      <c r="DD126" s="108" t="s">
        <v>3701</v>
      </c>
      <c r="DE126" s="108" t="str">
        <f ca="1">IF(DE122&lt;0,DD125,"")</f>
        <v>Είναι κάτω από τον ορίζοντα!!!</v>
      </c>
    </row>
    <row r="127" spans="1:109">
      <c r="A127" s="108">
        <v>120</v>
      </c>
      <c r="B127" s="108" t="str">
        <f t="shared" si="51"/>
        <v>α leo</v>
      </c>
      <c r="C127" s="108">
        <f t="shared" si="52"/>
        <v>0</v>
      </c>
      <c r="F127" s="108" t="s">
        <v>912</v>
      </c>
      <c r="G127" s="108">
        <v>20</v>
      </c>
      <c r="H127" s="108">
        <v>46</v>
      </c>
      <c r="I127" s="108">
        <v>39.200000000000003</v>
      </c>
      <c r="J127" s="108">
        <v>16</v>
      </c>
      <c r="K127" s="108">
        <v>7</v>
      </c>
      <c r="L127" s="108">
        <v>27</v>
      </c>
      <c r="M127" s="108" t="s">
        <v>913</v>
      </c>
      <c r="N127" s="108" t="s">
        <v>914</v>
      </c>
      <c r="R127" s="108" t="s">
        <v>915</v>
      </c>
      <c r="S127" s="108" t="s">
        <v>916</v>
      </c>
      <c r="T127" s="108" t="str">
        <f t="shared" si="59"/>
        <v>α</v>
      </c>
      <c r="U127" s="108" t="str">
        <f t="shared" si="60"/>
        <v/>
      </c>
      <c r="X127" s="108" t="s">
        <v>272</v>
      </c>
      <c r="Y127" s="108" t="s">
        <v>269</v>
      </c>
      <c r="CL127" s="108" t="s">
        <v>3843</v>
      </c>
    </row>
    <row r="128" spans="1:109">
      <c r="A128" s="108">
        <v>121</v>
      </c>
      <c r="B128" s="108" t="str">
        <f t="shared" si="51"/>
        <v>α leo</v>
      </c>
      <c r="C128" s="108">
        <f t="shared" si="52"/>
        <v>0</v>
      </c>
      <c r="F128" s="108" t="s">
        <v>917</v>
      </c>
      <c r="G128" s="108">
        <v>20</v>
      </c>
      <c r="H128" s="108">
        <v>43</v>
      </c>
      <c r="I128" s="108">
        <v>27.5</v>
      </c>
      <c r="J128" s="108">
        <v>15</v>
      </c>
      <c r="K128" s="108">
        <v>4</v>
      </c>
      <c r="L128" s="108">
        <v>28</v>
      </c>
      <c r="M128" s="108" t="s">
        <v>918</v>
      </c>
      <c r="N128" s="108" t="s">
        <v>919</v>
      </c>
      <c r="R128" s="108" t="s">
        <v>920</v>
      </c>
      <c r="S128" s="108" t="s">
        <v>916</v>
      </c>
      <c r="T128" s="108" t="str">
        <f t="shared" si="59"/>
        <v>α</v>
      </c>
      <c r="U128" s="108" t="str">
        <f t="shared" si="60"/>
        <v/>
      </c>
      <c r="X128" s="108" t="s">
        <v>921</v>
      </c>
      <c r="Y128" s="108" t="s">
        <v>278</v>
      </c>
      <c r="CL128" s="109" t="s">
        <v>3833</v>
      </c>
      <c r="CM128" s="109">
        <f ca="1">IF(CM125=24,0,CM125)</f>
        <v>8.7626643938957258</v>
      </c>
      <c r="DD128" s="109" t="s">
        <v>3659</v>
      </c>
      <c r="DE128" s="108">
        <f ca="1">DE116</f>
        <v>307.06074194237732</v>
      </c>
    </row>
    <row r="129" spans="1:110">
      <c r="A129" s="108">
        <v>122</v>
      </c>
      <c r="B129" s="108" t="str">
        <f t="shared" si="51"/>
        <v>α leo</v>
      </c>
      <c r="C129" s="108">
        <f t="shared" si="52"/>
        <v>0</v>
      </c>
      <c r="F129" s="108" t="s">
        <v>922</v>
      </c>
      <c r="G129" s="108">
        <v>20</v>
      </c>
      <c r="H129" s="108">
        <v>33</v>
      </c>
      <c r="I129" s="108">
        <v>12.8</v>
      </c>
      <c r="J129" s="108">
        <v>11</v>
      </c>
      <c r="K129" s="108">
        <v>18</v>
      </c>
      <c r="L129" s="108">
        <v>12</v>
      </c>
      <c r="M129" s="108" t="s">
        <v>923</v>
      </c>
      <c r="N129" s="108" t="s">
        <v>924</v>
      </c>
      <c r="R129" s="108" t="s">
        <v>925</v>
      </c>
      <c r="S129" s="108" t="s">
        <v>926</v>
      </c>
      <c r="T129" s="108" t="str">
        <f t="shared" si="59"/>
        <v>α</v>
      </c>
      <c r="U129" s="108" t="str">
        <f t="shared" si="60"/>
        <v/>
      </c>
      <c r="X129" s="108" t="s">
        <v>280</v>
      </c>
      <c r="Y129" s="108" t="s">
        <v>278</v>
      </c>
      <c r="CL129" s="109" t="s">
        <v>3846</v>
      </c>
      <c r="CM129" s="109"/>
      <c r="DD129" s="109" t="s">
        <v>3660</v>
      </c>
      <c r="DE129" s="108">
        <f ca="1">DE122</f>
        <v>-23.17166833781301</v>
      </c>
    </row>
    <row r="130" spans="1:110">
      <c r="A130" s="108">
        <v>123</v>
      </c>
      <c r="B130" s="108" t="str">
        <f t="shared" si="51"/>
        <v>α leo</v>
      </c>
      <c r="C130" s="108">
        <f t="shared" si="52"/>
        <v>0</v>
      </c>
      <c r="F130" s="108" t="s">
        <v>927</v>
      </c>
      <c r="G130" s="108">
        <v>20</v>
      </c>
      <c r="H130" s="108">
        <v>35</v>
      </c>
      <c r="I130" s="108">
        <v>18.5</v>
      </c>
      <c r="J130" s="108">
        <v>14</v>
      </c>
      <c r="K130" s="108">
        <v>40</v>
      </c>
      <c r="L130" s="108">
        <v>27</v>
      </c>
      <c r="M130" s="108" t="s">
        <v>928</v>
      </c>
      <c r="N130" s="108" t="s">
        <v>929</v>
      </c>
      <c r="R130" s="108" t="s">
        <v>930</v>
      </c>
      <c r="S130" s="108" t="s">
        <v>926</v>
      </c>
      <c r="T130" s="108" t="str">
        <f t="shared" si="59"/>
        <v>α</v>
      </c>
      <c r="U130" s="108" t="str">
        <f t="shared" si="60"/>
        <v/>
      </c>
      <c r="X130" s="108" t="s">
        <v>931</v>
      </c>
      <c r="Y130" s="108" t="s">
        <v>278</v>
      </c>
      <c r="CL130" s="108" t="s">
        <v>3847</v>
      </c>
      <c r="CM130" s="109"/>
      <c r="DD130" s="109" t="s">
        <v>3661</v>
      </c>
      <c r="DE130" s="108" t="str">
        <f ca="1">DE126</f>
        <v>Είναι κάτω από τον ορίζοντα!!!</v>
      </c>
    </row>
    <row r="131" spans="1:110">
      <c r="A131" s="108">
        <v>124</v>
      </c>
      <c r="B131" s="108" t="str">
        <f t="shared" si="51"/>
        <v>α leo</v>
      </c>
      <c r="C131" s="108">
        <f t="shared" si="52"/>
        <v>0</v>
      </c>
      <c r="F131" s="108" t="s">
        <v>932</v>
      </c>
      <c r="G131" s="108">
        <v>20</v>
      </c>
      <c r="H131" s="108">
        <v>33</v>
      </c>
      <c r="I131" s="108">
        <v>57.1</v>
      </c>
      <c r="J131" s="108">
        <v>13</v>
      </c>
      <c r="K131" s="108">
        <v>1</v>
      </c>
      <c r="L131" s="108">
        <v>38</v>
      </c>
      <c r="M131" s="108" t="s">
        <v>933</v>
      </c>
      <c r="N131" s="108" t="s">
        <v>934</v>
      </c>
      <c r="R131" s="108" t="s">
        <v>935</v>
      </c>
      <c r="S131" s="108" t="s">
        <v>936</v>
      </c>
      <c r="T131" s="108" t="str">
        <f t="shared" si="59"/>
        <v>α</v>
      </c>
      <c r="U131" s="108" t="str">
        <f t="shared" si="60"/>
        <v/>
      </c>
      <c r="X131" s="108" t="s">
        <v>937</v>
      </c>
      <c r="Y131" s="108" t="s">
        <v>278</v>
      </c>
      <c r="CL131" s="109" t="s">
        <v>3834</v>
      </c>
      <c r="CM131" s="109">
        <f ca="1">CM128*15</f>
        <v>131.43996590843588</v>
      </c>
      <c r="DD131" s="108" t="s">
        <v>3702</v>
      </c>
    </row>
    <row r="132" spans="1:110">
      <c r="A132" s="108">
        <v>125</v>
      </c>
      <c r="B132" s="108" t="str">
        <f t="shared" si="51"/>
        <v>α leo</v>
      </c>
      <c r="C132" s="108">
        <f t="shared" si="52"/>
        <v>0</v>
      </c>
      <c r="F132" s="108" t="s">
        <v>938</v>
      </c>
      <c r="G132" s="108">
        <v>20</v>
      </c>
      <c r="H132" s="108">
        <v>37</v>
      </c>
      <c r="I132" s="108">
        <v>49.1</v>
      </c>
      <c r="J132" s="108">
        <v>11</v>
      </c>
      <c r="K132" s="108">
        <v>22</v>
      </c>
      <c r="L132" s="108">
        <v>40</v>
      </c>
      <c r="M132" s="108" t="s">
        <v>939</v>
      </c>
      <c r="N132" s="108" t="s">
        <v>940</v>
      </c>
      <c r="R132" s="108" t="s">
        <v>941</v>
      </c>
      <c r="S132" s="108" t="s">
        <v>942</v>
      </c>
      <c r="T132" s="108" t="str">
        <f t="shared" si="59"/>
        <v>α</v>
      </c>
      <c r="U132" s="108" t="str">
        <f t="shared" si="60"/>
        <v/>
      </c>
      <c r="X132" s="108" t="s">
        <v>943</v>
      </c>
      <c r="Y132" s="108" t="s">
        <v>90</v>
      </c>
      <c r="DD132" s="108" t="s">
        <v>3481</v>
      </c>
      <c r="DE132" s="108">
        <f>BE53</f>
        <v>0</v>
      </c>
    </row>
    <row r="133" spans="1:110">
      <c r="A133" s="108">
        <v>126</v>
      </c>
      <c r="B133" s="108" t="str">
        <f t="shared" si="51"/>
        <v>α leo</v>
      </c>
      <c r="C133" s="108">
        <f t="shared" si="52"/>
        <v>0</v>
      </c>
      <c r="F133" s="108" t="s">
        <v>944</v>
      </c>
      <c r="G133" s="108">
        <v>20</v>
      </c>
      <c r="H133" s="108">
        <v>39</v>
      </c>
      <c r="I133" s="108">
        <v>7.8</v>
      </c>
      <c r="J133" s="108">
        <v>10</v>
      </c>
      <c r="K133" s="108">
        <v>5</v>
      </c>
      <c r="L133" s="108">
        <v>10</v>
      </c>
      <c r="M133" s="108" t="s">
        <v>945</v>
      </c>
      <c r="N133" s="108" t="s">
        <v>946</v>
      </c>
      <c r="R133" s="108" t="s">
        <v>947</v>
      </c>
      <c r="S133" s="108" t="s">
        <v>948</v>
      </c>
      <c r="T133" s="108" t="str">
        <f t="shared" si="59"/>
        <v>α</v>
      </c>
      <c r="U133" s="108" t="str">
        <f t="shared" si="60"/>
        <v/>
      </c>
      <c r="X133" s="108" t="s">
        <v>93</v>
      </c>
      <c r="Y133" s="108" t="s">
        <v>90</v>
      </c>
      <c r="CL133" s="109" t="s">
        <v>3854</v>
      </c>
      <c r="DD133" s="108" t="s">
        <v>3704</v>
      </c>
      <c r="DE133" s="108">
        <f>CM50</f>
        <v>0</v>
      </c>
    </row>
    <row r="134" spans="1:110">
      <c r="A134" s="108">
        <v>127</v>
      </c>
      <c r="B134" s="108" t="str">
        <f t="shared" ref="B134:B197" si="61">IF(B133=F134,A134,B133)</f>
        <v>α leo</v>
      </c>
      <c r="C134" s="108">
        <f t="shared" ref="C134:C197" si="62" xml:space="preserve"> IF(C133=F134,A134,C133)</f>
        <v>0</v>
      </c>
      <c r="F134" s="108" t="s">
        <v>346</v>
      </c>
      <c r="M134" s="108" t="s">
        <v>949</v>
      </c>
      <c r="N134" s="108" t="s">
        <v>344</v>
      </c>
      <c r="R134" s="108" t="s">
        <v>950</v>
      </c>
      <c r="S134" s="108" t="s">
        <v>948</v>
      </c>
      <c r="T134" s="108" t="str">
        <f t="shared" si="59"/>
        <v>α</v>
      </c>
      <c r="U134" s="108" t="str">
        <f t="shared" si="60"/>
        <v/>
      </c>
      <c r="X134" s="108" t="s">
        <v>951</v>
      </c>
      <c r="Y134" s="108" t="s">
        <v>287</v>
      </c>
      <c r="CL134" s="108" t="s">
        <v>3656</v>
      </c>
      <c r="CM134" s="108">
        <f ca="1">CM128</f>
        <v>8.7626643938957258</v>
      </c>
      <c r="DD134" s="108" t="s">
        <v>3705</v>
      </c>
      <c r="DE134" s="108">
        <f>DE35</f>
        <v>0</v>
      </c>
    </row>
    <row r="135" spans="1:110">
      <c r="A135" s="108">
        <v>128</v>
      </c>
      <c r="B135" s="108" t="str">
        <f t="shared" si="61"/>
        <v>α leo</v>
      </c>
      <c r="C135" s="108">
        <f t="shared" si="62"/>
        <v>0</v>
      </c>
      <c r="F135" s="108" t="s">
        <v>952</v>
      </c>
      <c r="G135" s="108">
        <v>7</v>
      </c>
      <c r="H135" s="108">
        <v>34</v>
      </c>
      <c r="I135" s="108">
        <v>36</v>
      </c>
      <c r="J135" s="108">
        <v>31</v>
      </c>
      <c r="K135" s="108">
        <v>53</v>
      </c>
      <c r="L135" s="108">
        <v>18</v>
      </c>
      <c r="M135" s="108" t="s">
        <v>953</v>
      </c>
      <c r="N135" s="108" t="s">
        <v>954</v>
      </c>
      <c r="R135" s="108" t="s">
        <v>955</v>
      </c>
      <c r="S135" s="108" t="s">
        <v>956</v>
      </c>
      <c r="T135" s="108" t="str">
        <f t="shared" si="59"/>
        <v>α</v>
      </c>
      <c r="U135" s="108" t="str">
        <f t="shared" si="60"/>
        <v/>
      </c>
      <c r="X135" s="108" t="s">
        <v>290</v>
      </c>
      <c r="Y135" s="108" t="s">
        <v>287</v>
      </c>
      <c r="CL135" s="108" t="s">
        <v>3875</v>
      </c>
      <c r="CM135" s="109">
        <f ca="1">IF(CM134&lt;23.833,0,1)</f>
        <v>0</v>
      </c>
      <c r="DD135" s="108" t="s">
        <v>3712</v>
      </c>
      <c r="DE135" s="108">
        <f>DE132+DE133+DE134</f>
        <v>0</v>
      </c>
    </row>
    <row r="136" spans="1:110">
      <c r="A136" s="108">
        <v>129</v>
      </c>
      <c r="B136" s="108" t="str">
        <f t="shared" si="61"/>
        <v>α leo</v>
      </c>
      <c r="C136" s="108">
        <f t="shared" si="62"/>
        <v>0</v>
      </c>
      <c r="F136" s="108" t="s">
        <v>957</v>
      </c>
      <c r="G136" s="108">
        <v>7</v>
      </c>
      <c r="H136" s="108">
        <v>45</v>
      </c>
      <c r="I136" s="108">
        <v>18.899999999999999</v>
      </c>
      <c r="J136" s="108">
        <v>28</v>
      </c>
      <c r="K136" s="108">
        <v>1</v>
      </c>
      <c r="L136" s="108">
        <v>34</v>
      </c>
      <c r="M136" s="108" t="s">
        <v>958</v>
      </c>
      <c r="N136" s="108" t="s">
        <v>959</v>
      </c>
      <c r="R136" s="108" t="s">
        <v>960</v>
      </c>
      <c r="S136" s="108" t="s">
        <v>956</v>
      </c>
      <c r="T136" s="108" t="str">
        <f t="shared" si="59"/>
        <v>α</v>
      </c>
      <c r="U136" s="108" t="str">
        <f t="shared" si="60"/>
        <v/>
      </c>
      <c r="X136" s="108" t="s">
        <v>961</v>
      </c>
      <c r="Y136" s="108" t="s">
        <v>407</v>
      </c>
      <c r="CL136" s="108" t="s">
        <v>3855</v>
      </c>
      <c r="CM136" s="108">
        <f ca="1">24-CM134</f>
        <v>15.237335606104274</v>
      </c>
    </row>
    <row r="137" spans="1:110">
      <c r="A137" s="108">
        <v>130</v>
      </c>
      <c r="B137" s="108" t="str">
        <f t="shared" si="61"/>
        <v>α leo</v>
      </c>
      <c r="C137" s="108">
        <f t="shared" si="62"/>
        <v>0</v>
      </c>
      <c r="F137" s="108" t="s">
        <v>962</v>
      </c>
      <c r="G137" s="108">
        <v>6</v>
      </c>
      <c r="H137" s="108">
        <v>37</v>
      </c>
      <c r="I137" s="108">
        <v>42.7</v>
      </c>
      <c r="J137" s="108">
        <v>16</v>
      </c>
      <c r="K137" s="108">
        <v>23</v>
      </c>
      <c r="L137" s="108">
        <v>57</v>
      </c>
      <c r="M137" s="108" t="s">
        <v>963</v>
      </c>
      <c r="N137" s="108" t="s">
        <v>964</v>
      </c>
      <c r="R137" s="108" t="s">
        <v>965</v>
      </c>
      <c r="S137" s="108" t="s">
        <v>966</v>
      </c>
      <c r="T137" s="108" t="str">
        <f t="shared" si="59"/>
        <v>α</v>
      </c>
      <c r="U137" s="108" t="str">
        <f t="shared" si="60"/>
        <v/>
      </c>
      <c r="X137" s="108" t="s">
        <v>967</v>
      </c>
      <c r="Y137" s="108" t="s">
        <v>407</v>
      </c>
      <c r="CL137" s="108" t="s">
        <v>3856</v>
      </c>
      <c r="CM137" s="108">
        <f ca="1">CM136*60</f>
        <v>914.24013636625648</v>
      </c>
      <c r="DD137" s="109" t="s">
        <v>3659</v>
      </c>
      <c r="DE137" s="108">
        <f ca="1">IF(DF137=0,DE128,"")</f>
        <v>307.06074194237732</v>
      </c>
      <c r="DF137" s="108">
        <f>DE135</f>
        <v>0</v>
      </c>
    </row>
    <row r="138" spans="1:110">
      <c r="A138" s="108">
        <v>131</v>
      </c>
      <c r="B138" s="108" t="str">
        <f t="shared" si="61"/>
        <v>α leo</v>
      </c>
      <c r="C138" s="108">
        <f t="shared" si="62"/>
        <v>0</v>
      </c>
      <c r="F138" s="108" t="s">
        <v>968</v>
      </c>
      <c r="G138" s="108">
        <v>7</v>
      </c>
      <c r="H138" s="108">
        <v>20</v>
      </c>
      <c r="I138" s="108">
        <v>7.4</v>
      </c>
      <c r="J138" s="108">
        <v>21</v>
      </c>
      <c r="K138" s="108">
        <v>58</v>
      </c>
      <c r="L138" s="108">
        <v>56</v>
      </c>
      <c r="M138" s="108" t="s">
        <v>969</v>
      </c>
      <c r="N138" s="108" t="s">
        <v>970</v>
      </c>
      <c r="R138" s="108" t="s">
        <v>971</v>
      </c>
      <c r="S138" s="108" t="s">
        <v>966</v>
      </c>
      <c r="T138" s="108" t="str">
        <f t="shared" si="59"/>
        <v>α</v>
      </c>
      <c r="U138" s="108" t="str">
        <f t="shared" si="60"/>
        <v/>
      </c>
      <c r="X138" s="108" t="s">
        <v>972</v>
      </c>
      <c r="Y138" s="108" t="s">
        <v>407</v>
      </c>
      <c r="CL138" s="108" t="s">
        <v>3857</v>
      </c>
      <c r="CN138" s="108">
        <f ca="1">IF(CM137&gt;10.08,0,CM137)</f>
        <v>0</v>
      </c>
      <c r="DD138" s="109" t="s">
        <v>3660</v>
      </c>
      <c r="DE138" s="108">
        <f t="shared" ref="DE138:DE139" ca="1" si="63">IF(DF138=0,DE129,"")</f>
        <v>-23.17166833781301</v>
      </c>
      <c r="DF138" s="108">
        <f>DF137</f>
        <v>0</v>
      </c>
    </row>
    <row r="139" spans="1:110">
      <c r="A139" s="108">
        <v>132</v>
      </c>
      <c r="B139" s="108" t="str">
        <f t="shared" si="61"/>
        <v>α leo</v>
      </c>
      <c r="C139" s="108">
        <f t="shared" si="62"/>
        <v>0</v>
      </c>
      <c r="F139" s="108" t="s">
        <v>973</v>
      </c>
      <c r="G139" s="108">
        <v>6</v>
      </c>
      <c r="H139" s="108">
        <v>43</v>
      </c>
      <c r="I139" s="108">
        <v>55.9</v>
      </c>
      <c r="J139" s="108">
        <v>25</v>
      </c>
      <c r="K139" s="108">
        <v>7</v>
      </c>
      <c r="L139" s="108">
        <v>52</v>
      </c>
      <c r="M139" s="108" t="s">
        <v>974</v>
      </c>
      <c r="N139" s="108" t="s">
        <v>975</v>
      </c>
      <c r="R139" s="108" t="s">
        <v>976</v>
      </c>
      <c r="S139" s="108" t="s">
        <v>977</v>
      </c>
      <c r="T139" s="108" t="str">
        <f t="shared" si="59"/>
        <v>α</v>
      </c>
      <c r="U139" s="108" t="str">
        <f t="shared" si="60"/>
        <v/>
      </c>
      <c r="X139" s="108" t="s">
        <v>410</v>
      </c>
      <c r="Y139" s="108" t="s">
        <v>407</v>
      </c>
      <c r="CL139" s="108" t="s">
        <v>3858</v>
      </c>
      <c r="CM139" s="108">
        <v>1</v>
      </c>
      <c r="CN139" s="108">
        <f ca="1">IF(CN138&lt;CM139,4000,CN138)</f>
        <v>4000</v>
      </c>
      <c r="CO139" s="108">
        <f ca="1">IF(CN139=4000,-1,0)</f>
        <v>-1</v>
      </c>
      <c r="DD139" s="109" t="s">
        <v>3661</v>
      </c>
      <c r="DE139" s="108" t="str">
        <f t="shared" ca="1" si="63"/>
        <v>Είναι κάτω από τον ορίζοντα!!!</v>
      </c>
      <c r="DF139" s="108">
        <f t="shared" ref="DF139" si="64">DF138</f>
        <v>0</v>
      </c>
    </row>
    <row r="140" spans="1:110">
      <c r="A140" s="108">
        <v>133</v>
      </c>
      <c r="B140" s="108" t="str">
        <f t="shared" si="61"/>
        <v>α leo</v>
      </c>
      <c r="C140" s="108">
        <f t="shared" si="62"/>
        <v>0</v>
      </c>
      <c r="F140" s="108" t="s">
        <v>978</v>
      </c>
      <c r="G140" s="108">
        <v>7</v>
      </c>
      <c r="H140" s="108">
        <v>4</v>
      </c>
      <c r="I140" s="108">
        <v>6.5</v>
      </c>
      <c r="J140" s="108">
        <v>20</v>
      </c>
      <c r="K140" s="108">
        <v>34</v>
      </c>
      <c r="L140" s="108">
        <v>13</v>
      </c>
      <c r="M140" s="108" t="s">
        <v>979</v>
      </c>
      <c r="N140" s="108" t="s">
        <v>980</v>
      </c>
      <c r="R140" s="108" t="s">
        <v>981</v>
      </c>
      <c r="S140" s="108" t="s">
        <v>977</v>
      </c>
      <c r="T140" s="108" t="str">
        <f t="shared" si="59"/>
        <v>α</v>
      </c>
      <c r="U140" s="108" t="str">
        <f t="shared" si="60"/>
        <v/>
      </c>
      <c r="X140" s="108" t="s">
        <v>982</v>
      </c>
      <c r="Y140" s="108" t="s">
        <v>388</v>
      </c>
      <c r="CM140" s="108">
        <v>2</v>
      </c>
      <c r="CN140" s="108">
        <f t="shared" ref="CN140:CN148" ca="1" si="65">IF(CN139&lt;CM140,4000,CN139)</f>
        <v>4000</v>
      </c>
      <c r="CO140" s="108">
        <f t="shared" ref="CO140:CO148" ca="1" si="66">IF(CN140=4000,-1,0)</f>
        <v>-1</v>
      </c>
      <c r="DD140" s="108" t="s">
        <v>3715</v>
      </c>
    </row>
    <row r="141" spans="1:110">
      <c r="A141" s="108">
        <v>134</v>
      </c>
      <c r="B141" s="108" t="str">
        <f t="shared" si="61"/>
        <v>α leo</v>
      </c>
      <c r="C141" s="108">
        <f t="shared" si="62"/>
        <v>0</v>
      </c>
      <c r="F141" s="108" t="s">
        <v>983</v>
      </c>
      <c r="G141" s="108">
        <v>6</v>
      </c>
      <c r="H141" s="108">
        <v>14</v>
      </c>
      <c r="I141" s="108">
        <v>52.7</v>
      </c>
      <c r="J141" s="108">
        <v>22</v>
      </c>
      <c r="K141" s="108">
        <v>30</v>
      </c>
      <c r="L141" s="108">
        <v>24</v>
      </c>
      <c r="M141" s="108" t="s">
        <v>984</v>
      </c>
      <c r="N141" s="108" t="s">
        <v>985</v>
      </c>
      <c r="R141" s="108" t="s">
        <v>3866</v>
      </c>
      <c r="S141" s="108" t="s">
        <v>3869</v>
      </c>
      <c r="T141" s="108" t="str">
        <f t="shared" si="59"/>
        <v>α</v>
      </c>
      <c r="U141" s="108" t="str">
        <f t="shared" si="60"/>
        <v/>
      </c>
      <c r="X141" s="108" t="s">
        <v>390</v>
      </c>
      <c r="Y141" s="108" t="s">
        <v>388</v>
      </c>
      <c r="AM141" s="3"/>
      <c r="AN141" s="3"/>
      <c r="AO141" s="3"/>
      <c r="AP141" s="3"/>
      <c r="AQ141" s="3"/>
      <c r="AR141" s="3"/>
      <c r="AS141" s="3"/>
      <c r="AT141" s="3"/>
      <c r="AV141" s="3"/>
      <c r="AW141" s="3"/>
      <c r="AX141" s="3"/>
      <c r="AY141" s="3"/>
      <c r="AZ141" s="3"/>
      <c r="BA141" s="3"/>
      <c r="BB141" s="3"/>
      <c r="BC141" s="3"/>
      <c r="CM141" s="108">
        <v>3</v>
      </c>
      <c r="CN141" s="108">
        <f t="shared" ca="1" si="65"/>
        <v>4000</v>
      </c>
      <c r="CO141" s="108">
        <f t="shared" ca="1" si="66"/>
        <v>-1</v>
      </c>
      <c r="DD141" s="109" t="s">
        <v>3659</v>
      </c>
      <c r="DE141" s="108">
        <f ca="1">IF(DF141=0,"",DE137)</f>
        <v>307.06074194237732</v>
      </c>
      <c r="DF141" s="108" t="str">
        <f>AV48</f>
        <v>α leo</v>
      </c>
    </row>
    <row r="142" spans="1:110">
      <c r="A142" s="108">
        <v>135</v>
      </c>
      <c r="B142" s="108" t="str">
        <f t="shared" si="61"/>
        <v>α leo</v>
      </c>
      <c r="C142" s="108">
        <f t="shared" si="62"/>
        <v>0</v>
      </c>
      <c r="F142" s="108" t="s">
        <v>986</v>
      </c>
      <c r="G142" s="108">
        <v>6</v>
      </c>
      <c r="H142" s="108">
        <v>22</v>
      </c>
      <c r="I142" s="108">
        <v>57.6</v>
      </c>
      <c r="J142" s="108">
        <v>22</v>
      </c>
      <c r="K142" s="108">
        <v>30</v>
      </c>
      <c r="L142" s="108">
        <v>49</v>
      </c>
      <c r="M142" s="108" t="s">
        <v>987</v>
      </c>
      <c r="N142" s="108" t="s">
        <v>988</v>
      </c>
      <c r="R142" s="108" t="s">
        <v>3867</v>
      </c>
      <c r="S142" s="108" t="s">
        <v>3869</v>
      </c>
      <c r="T142" s="108" t="str">
        <f t="shared" si="59"/>
        <v>α</v>
      </c>
      <c r="U142" s="108" t="str">
        <f t="shared" si="60"/>
        <v/>
      </c>
      <c r="X142" s="108" t="s">
        <v>989</v>
      </c>
      <c r="Y142" s="108" t="s">
        <v>436</v>
      </c>
      <c r="CM142" s="108">
        <v>4</v>
      </c>
      <c r="CN142" s="108">
        <f t="shared" ca="1" si="65"/>
        <v>4000</v>
      </c>
      <c r="CO142" s="108">
        <f t="shared" ca="1" si="66"/>
        <v>-1</v>
      </c>
      <c r="DD142" s="109" t="s">
        <v>3660</v>
      </c>
      <c r="DE142" s="108">
        <f t="shared" ref="DE142:DE143" ca="1" si="67">IF(DF142=0,"",DE138)</f>
        <v>-23.17166833781301</v>
      </c>
      <c r="DF142" s="108" t="str">
        <f>DF141</f>
        <v>α leo</v>
      </c>
    </row>
    <row r="143" spans="1:110">
      <c r="A143" s="108">
        <v>136</v>
      </c>
      <c r="B143" s="108" t="str">
        <f t="shared" si="61"/>
        <v>α leo</v>
      </c>
      <c r="C143" s="108">
        <f t="shared" si="62"/>
        <v>0</v>
      </c>
      <c r="F143" s="108" t="s">
        <v>307</v>
      </c>
      <c r="M143" s="108" t="s">
        <v>990</v>
      </c>
      <c r="N143" s="108" t="s">
        <v>305</v>
      </c>
      <c r="R143" s="108" t="s">
        <v>3868</v>
      </c>
      <c r="S143" s="108" t="s">
        <v>3869</v>
      </c>
      <c r="T143" s="108" t="str">
        <f t="shared" si="59"/>
        <v>α</v>
      </c>
      <c r="U143" s="108" t="str">
        <f t="shared" si="60"/>
        <v/>
      </c>
      <c r="X143" s="108" t="s">
        <v>991</v>
      </c>
      <c r="Y143" s="108" t="s">
        <v>436</v>
      </c>
      <c r="CM143" s="108">
        <v>5</v>
      </c>
      <c r="CN143" s="108">
        <f t="shared" ca="1" si="65"/>
        <v>4000</v>
      </c>
      <c r="CO143" s="108">
        <f t="shared" ca="1" si="66"/>
        <v>-1</v>
      </c>
      <c r="DD143" s="109" t="s">
        <v>3661</v>
      </c>
      <c r="DE143" s="108" t="str">
        <f t="shared" ca="1" si="67"/>
        <v>Είναι κάτω από τον ορίζοντα!!!</v>
      </c>
      <c r="DF143" s="108" t="str">
        <f t="shared" ref="DF143" si="68">DF142</f>
        <v>α leo</v>
      </c>
    </row>
    <row r="144" spans="1:110">
      <c r="A144" s="108">
        <v>137</v>
      </c>
      <c r="B144" s="108" t="str">
        <f t="shared" si="61"/>
        <v>α leo</v>
      </c>
      <c r="C144" s="108">
        <f t="shared" si="62"/>
        <v>0</v>
      </c>
      <c r="F144" s="108" t="s">
        <v>992</v>
      </c>
      <c r="G144" s="108">
        <v>14</v>
      </c>
      <c r="H144" s="108">
        <v>4</v>
      </c>
      <c r="I144" s="108">
        <v>23.3</v>
      </c>
      <c r="J144" s="108">
        <v>64</v>
      </c>
      <c r="K144" s="108">
        <v>22</v>
      </c>
      <c r="L144" s="108">
        <v>33</v>
      </c>
      <c r="M144" s="108" t="s">
        <v>993</v>
      </c>
      <c r="N144" s="108" t="s">
        <v>994</v>
      </c>
      <c r="T144" s="108" t="str">
        <f t="shared" si="59"/>
        <v>α</v>
      </c>
      <c r="U144" s="108">
        <f t="shared" si="60"/>
        <v>0</v>
      </c>
      <c r="X144" s="108" t="s">
        <v>995</v>
      </c>
      <c r="Y144" s="108" t="s">
        <v>436</v>
      </c>
      <c r="CM144" s="108">
        <v>6</v>
      </c>
      <c r="CN144" s="108">
        <f t="shared" ca="1" si="65"/>
        <v>4000</v>
      </c>
      <c r="CO144" s="108">
        <f t="shared" ca="1" si="66"/>
        <v>-1</v>
      </c>
    </row>
    <row r="145" spans="1:93">
      <c r="A145" s="108">
        <v>138</v>
      </c>
      <c r="B145" s="108" t="str">
        <f t="shared" si="61"/>
        <v>α leo</v>
      </c>
      <c r="C145" s="108">
        <f t="shared" si="62"/>
        <v>0</v>
      </c>
      <c r="F145" s="108" t="s">
        <v>996</v>
      </c>
      <c r="G145" s="108">
        <v>17</v>
      </c>
      <c r="H145" s="108">
        <v>30</v>
      </c>
      <c r="I145" s="108">
        <v>26</v>
      </c>
      <c r="J145" s="108">
        <v>52</v>
      </c>
      <c r="K145" s="108">
        <v>18</v>
      </c>
      <c r="L145" s="108">
        <v>5</v>
      </c>
      <c r="M145" s="108" t="s">
        <v>997</v>
      </c>
      <c r="N145" s="108" t="s">
        <v>998</v>
      </c>
      <c r="T145" s="108" t="str">
        <f t="shared" si="59"/>
        <v>α</v>
      </c>
      <c r="U145" s="108">
        <f t="shared" si="60"/>
        <v>0</v>
      </c>
      <c r="X145" s="108" t="s">
        <v>999</v>
      </c>
      <c r="Y145" s="108" t="s">
        <v>436</v>
      </c>
      <c r="AM145" s="3"/>
      <c r="AN145" s="3"/>
      <c r="AO145" s="3"/>
      <c r="AP145" s="3"/>
      <c r="AQ145" s="3"/>
      <c r="AR145" s="3"/>
      <c r="AS145" s="3"/>
      <c r="AT145" s="3"/>
      <c r="AV145" s="3"/>
      <c r="AW145" s="3"/>
      <c r="AX145" s="3"/>
      <c r="AY145" s="3"/>
      <c r="AZ145" s="3"/>
      <c r="BA145" s="3"/>
      <c r="BB145" s="3"/>
      <c r="BC145" s="3"/>
      <c r="CM145" s="108">
        <v>7</v>
      </c>
      <c r="CN145" s="108">
        <f t="shared" ca="1" si="65"/>
        <v>4000</v>
      </c>
      <c r="CO145" s="108">
        <f t="shared" ca="1" si="66"/>
        <v>-1</v>
      </c>
    </row>
    <row r="146" spans="1:93">
      <c r="A146" s="108">
        <v>139</v>
      </c>
      <c r="B146" s="108" t="str">
        <f t="shared" si="61"/>
        <v>α leo</v>
      </c>
      <c r="C146" s="108">
        <f t="shared" si="62"/>
        <v>0</v>
      </c>
      <c r="F146" s="108" t="s">
        <v>1000</v>
      </c>
      <c r="G146" s="108">
        <v>17</v>
      </c>
      <c r="H146" s="108">
        <v>56</v>
      </c>
      <c r="I146" s="108">
        <v>36.4</v>
      </c>
      <c r="J146" s="108">
        <v>51</v>
      </c>
      <c r="K146" s="108">
        <v>29</v>
      </c>
      <c r="L146" s="108">
        <v>20</v>
      </c>
      <c r="M146" s="108" t="s">
        <v>1001</v>
      </c>
      <c r="N146" s="108" t="s">
        <v>1002</v>
      </c>
      <c r="T146" s="108" t="str">
        <f t="shared" si="59"/>
        <v>α</v>
      </c>
      <c r="U146" s="108">
        <f t="shared" si="60"/>
        <v>0</v>
      </c>
      <c r="X146" s="108" t="s">
        <v>439</v>
      </c>
      <c r="Y146" s="108" t="s">
        <v>436</v>
      </c>
      <c r="CM146" s="108">
        <v>8</v>
      </c>
      <c r="CN146" s="108">
        <f t="shared" ca="1" si="65"/>
        <v>4000</v>
      </c>
      <c r="CO146" s="108">
        <f t="shared" ca="1" si="66"/>
        <v>-1</v>
      </c>
    </row>
    <row r="147" spans="1:93">
      <c r="A147" s="108">
        <v>140</v>
      </c>
      <c r="B147" s="108" t="str">
        <f t="shared" si="61"/>
        <v>α leo</v>
      </c>
      <c r="C147" s="108">
        <f t="shared" si="62"/>
        <v>0</v>
      </c>
      <c r="F147" s="108" t="s">
        <v>1003</v>
      </c>
      <c r="G147" s="108">
        <v>19</v>
      </c>
      <c r="H147" s="108">
        <v>12</v>
      </c>
      <c r="I147" s="108">
        <v>33.299999999999997</v>
      </c>
      <c r="J147" s="108">
        <v>67</v>
      </c>
      <c r="K147" s="108">
        <v>39</v>
      </c>
      <c r="L147" s="108">
        <v>42</v>
      </c>
      <c r="M147" s="108" t="s">
        <v>1004</v>
      </c>
      <c r="N147" s="108" t="s">
        <v>1005</v>
      </c>
      <c r="T147" s="108" t="str">
        <f>T146</f>
        <v>α</v>
      </c>
      <c r="U147" s="108">
        <f>U146</f>
        <v>0</v>
      </c>
      <c r="X147" s="108" t="s">
        <v>1006</v>
      </c>
      <c r="Y147" s="108" t="s">
        <v>436</v>
      </c>
      <c r="CM147" s="108">
        <v>9</v>
      </c>
      <c r="CN147" s="108">
        <f t="shared" ca="1" si="65"/>
        <v>4000</v>
      </c>
      <c r="CO147" s="108">
        <f t="shared" ca="1" si="66"/>
        <v>-1</v>
      </c>
    </row>
    <row r="148" spans="1:93">
      <c r="A148" s="108">
        <v>141</v>
      </c>
      <c r="B148" s="108" t="str">
        <f t="shared" si="61"/>
        <v>α leo</v>
      </c>
      <c r="C148" s="108">
        <f t="shared" si="62"/>
        <v>0</v>
      </c>
      <c r="F148" s="108" t="s">
        <v>1007</v>
      </c>
      <c r="G148" s="108">
        <v>19</v>
      </c>
      <c r="H148" s="108">
        <v>48</v>
      </c>
      <c r="I148" s="108">
        <v>10.4</v>
      </c>
      <c r="J148" s="108">
        <v>70</v>
      </c>
      <c r="K148" s="108">
        <v>16</v>
      </c>
      <c r="L148" s="108">
        <v>4</v>
      </c>
      <c r="M148" s="108" t="s">
        <v>1008</v>
      </c>
      <c r="N148" s="108" t="s">
        <v>1009</v>
      </c>
      <c r="S148" s="109" t="s">
        <v>1010</v>
      </c>
      <c r="X148" s="108" t="s">
        <v>1011</v>
      </c>
      <c r="Y148" s="108" t="s">
        <v>427</v>
      </c>
      <c r="CM148" s="108">
        <v>10</v>
      </c>
      <c r="CN148" s="108">
        <f t="shared" ca="1" si="65"/>
        <v>4000</v>
      </c>
      <c r="CO148" s="108">
        <f t="shared" ca="1" si="66"/>
        <v>-1</v>
      </c>
    </row>
    <row r="149" spans="1:93">
      <c r="A149" s="108">
        <v>142</v>
      </c>
      <c r="B149" s="108" t="str">
        <f t="shared" si="61"/>
        <v>α leo</v>
      </c>
      <c r="C149" s="108">
        <f t="shared" si="62"/>
        <v>0</v>
      </c>
      <c r="F149" s="108" t="s">
        <v>1012</v>
      </c>
      <c r="G149" s="108">
        <v>17</v>
      </c>
      <c r="H149" s="108">
        <v>8</v>
      </c>
      <c r="I149" s="108">
        <v>47.2</v>
      </c>
      <c r="J149" s="108">
        <v>65</v>
      </c>
      <c r="K149" s="108">
        <v>42</v>
      </c>
      <c r="L149" s="108">
        <v>53</v>
      </c>
      <c r="M149" s="108" t="s">
        <v>1013</v>
      </c>
      <c r="N149" s="108" t="s">
        <v>1014</v>
      </c>
      <c r="S149" s="109" t="s">
        <v>49</v>
      </c>
      <c r="X149" s="108" t="s">
        <v>429</v>
      </c>
      <c r="Y149" s="108" t="s">
        <v>427</v>
      </c>
      <c r="CM149" s="108" t="s">
        <v>3479</v>
      </c>
      <c r="CO149" s="108">
        <f ca="1">10+CO139+CO140+CO141+CO142+CO143+CO144+CO145+CO146+CO147+CO148</f>
        <v>0</v>
      </c>
    </row>
    <row r="150" spans="1:93">
      <c r="A150" s="108">
        <v>143</v>
      </c>
      <c r="B150" s="108" t="str">
        <f t="shared" si="61"/>
        <v>α leo</v>
      </c>
      <c r="C150" s="108">
        <f t="shared" si="62"/>
        <v>0</v>
      </c>
      <c r="F150" s="108" t="s">
        <v>1015</v>
      </c>
      <c r="G150" s="108">
        <v>16</v>
      </c>
      <c r="H150" s="108">
        <v>23</v>
      </c>
      <c r="I150" s="108">
        <v>59.5</v>
      </c>
      <c r="J150" s="108">
        <v>61</v>
      </c>
      <c r="K150" s="108">
        <v>30</v>
      </c>
      <c r="L150" s="108">
        <v>51</v>
      </c>
      <c r="M150" s="108" t="s">
        <v>1016</v>
      </c>
      <c r="N150" s="108" t="s">
        <v>1017</v>
      </c>
      <c r="S150" s="108" t="s">
        <v>1018</v>
      </c>
      <c r="T150" s="108" t="str">
        <f>T147</f>
        <v>α</v>
      </c>
      <c r="X150" s="108" t="s">
        <v>1019</v>
      </c>
      <c r="Y150" s="108" t="s">
        <v>448</v>
      </c>
    </row>
    <row r="151" spans="1:93">
      <c r="A151" s="108">
        <v>144</v>
      </c>
      <c r="B151" s="108" t="str">
        <f t="shared" si="61"/>
        <v>α leo</v>
      </c>
      <c r="C151" s="108">
        <f t="shared" si="62"/>
        <v>0</v>
      </c>
      <c r="F151" s="108" t="s">
        <v>1020</v>
      </c>
      <c r="G151" s="108">
        <v>16</v>
      </c>
      <c r="H151" s="108">
        <v>1</v>
      </c>
      <c r="I151" s="108">
        <v>53.3</v>
      </c>
      <c r="J151" s="108">
        <v>58</v>
      </c>
      <c r="K151" s="108">
        <v>33</v>
      </c>
      <c r="L151" s="108">
        <v>55</v>
      </c>
      <c r="M151" s="108" t="s">
        <v>1021</v>
      </c>
      <c r="N151" s="108" t="s">
        <v>1022</v>
      </c>
      <c r="R151" s="108" t="s">
        <v>1023</v>
      </c>
      <c r="S151" s="108" t="s">
        <v>1024</v>
      </c>
      <c r="T151" s="108" t="str">
        <f>IF(T152=0,""," ")</f>
        <v xml:space="preserve"> </v>
      </c>
      <c r="X151" s="108" t="s">
        <v>450</v>
      </c>
      <c r="Y151" s="108" t="s">
        <v>448</v>
      </c>
      <c r="CL151" s="108" t="s">
        <v>3859</v>
      </c>
      <c r="CM151" s="108" t="str">
        <f ca="1">IF(CN151=1,CL151,"")</f>
        <v/>
      </c>
      <c r="CN151" s="108">
        <f ca="1">CM135</f>
        <v>0</v>
      </c>
    </row>
    <row r="152" spans="1:93">
      <c r="A152" s="108">
        <v>145</v>
      </c>
      <c r="B152" s="108" t="str">
        <f t="shared" si="61"/>
        <v>α leo</v>
      </c>
      <c r="C152" s="108">
        <f t="shared" si="62"/>
        <v>0</v>
      </c>
      <c r="F152" s="108" t="s">
        <v>1025</v>
      </c>
      <c r="G152" s="108">
        <v>15</v>
      </c>
      <c r="H152" s="108">
        <v>24</v>
      </c>
      <c r="I152" s="108">
        <v>55.8</v>
      </c>
      <c r="J152" s="108">
        <v>58</v>
      </c>
      <c r="K152" s="108">
        <v>57</v>
      </c>
      <c r="L152" s="108">
        <v>58</v>
      </c>
      <c r="M152" s="108" t="s">
        <v>1026</v>
      </c>
      <c r="N152" s="108" t="s">
        <v>1027</v>
      </c>
      <c r="S152" s="108" t="s">
        <v>1028</v>
      </c>
      <c r="T152" s="108" t="str">
        <f>T26</f>
        <v>leo</v>
      </c>
      <c r="X152" s="108" t="s">
        <v>1029</v>
      </c>
      <c r="Y152" s="108" t="s">
        <v>321</v>
      </c>
      <c r="CL152" s="108">
        <f ca="1">CO149</f>
        <v>0</v>
      </c>
      <c r="CM152" s="108" t="str">
        <f ca="1">IF(CN152=1,CL152,"")</f>
        <v/>
      </c>
      <c r="CN152" s="108">
        <f ca="1">CM135</f>
        <v>0</v>
      </c>
    </row>
    <row r="153" spans="1:93">
      <c r="A153" s="108">
        <v>146</v>
      </c>
      <c r="B153" s="108" t="str">
        <f t="shared" si="61"/>
        <v>α leo</v>
      </c>
      <c r="C153" s="108">
        <f t="shared" si="62"/>
        <v>0</v>
      </c>
      <c r="F153" s="108" t="s">
        <v>1030</v>
      </c>
      <c r="G153" s="108">
        <v>12</v>
      </c>
      <c r="H153" s="108">
        <v>33</v>
      </c>
      <c r="I153" s="108">
        <v>29</v>
      </c>
      <c r="J153" s="108">
        <v>69</v>
      </c>
      <c r="K153" s="108">
        <v>47</v>
      </c>
      <c r="L153" s="108">
        <v>18</v>
      </c>
      <c r="M153" s="108" t="s">
        <v>1031</v>
      </c>
      <c r="N153" s="108" t="s">
        <v>1032</v>
      </c>
      <c r="S153" s="108" t="s">
        <v>1033</v>
      </c>
      <c r="T153" s="108" t="str">
        <f>IF(T152=0,"",T152)</f>
        <v>leo</v>
      </c>
      <c r="X153" s="108" t="s">
        <v>1034</v>
      </c>
      <c r="Y153" s="108" t="s">
        <v>321</v>
      </c>
      <c r="CL153" s="108" t="s">
        <v>14</v>
      </c>
      <c r="CM153" s="108" t="str">
        <f t="shared" ref="CM153" ca="1" si="69">IF(CN153=1,CL153,"")</f>
        <v/>
      </c>
      <c r="CN153" s="108">
        <f ca="1">CM135</f>
        <v>0</v>
      </c>
    </row>
    <row r="154" spans="1:93">
      <c r="A154" s="108">
        <v>147</v>
      </c>
      <c r="B154" s="108" t="str">
        <f t="shared" si="61"/>
        <v>α leo</v>
      </c>
      <c r="C154" s="108">
        <f t="shared" si="62"/>
        <v>0</v>
      </c>
      <c r="F154" s="108" t="s">
        <v>1035</v>
      </c>
      <c r="G154" s="108">
        <v>11</v>
      </c>
      <c r="H154" s="108">
        <v>31</v>
      </c>
      <c r="I154" s="108">
        <v>24.2</v>
      </c>
      <c r="J154" s="108">
        <v>69</v>
      </c>
      <c r="K154" s="108">
        <v>19</v>
      </c>
      <c r="L154" s="108">
        <v>52</v>
      </c>
      <c r="M154" s="108" t="s">
        <v>1036</v>
      </c>
      <c r="N154" s="108" t="s">
        <v>1037</v>
      </c>
      <c r="S154" s="108" t="s">
        <v>1038</v>
      </c>
      <c r="T154" s="108" t="str">
        <f>CONCATENATE(T150,T151,T153)</f>
        <v>α leo</v>
      </c>
      <c r="X154" s="108" t="s">
        <v>1039</v>
      </c>
      <c r="Y154" s="108" t="s">
        <v>321</v>
      </c>
      <c r="CL154" s="108" t="s">
        <v>3876</v>
      </c>
      <c r="CM154" s="108">
        <f>IF(BE33=0,1,0)</f>
        <v>0</v>
      </c>
    </row>
    <row r="155" spans="1:93">
      <c r="A155" s="108">
        <v>148</v>
      </c>
      <c r="B155" s="108" t="str">
        <f t="shared" si="61"/>
        <v>α leo</v>
      </c>
      <c r="C155" s="108">
        <f t="shared" si="62"/>
        <v>0</v>
      </c>
      <c r="F155" s="108" t="s">
        <v>1040</v>
      </c>
      <c r="G155" s="108">
        <v>17</v>
      </c>
      <c r="H155" s="108">
        <v>32</v>
      </c>
      <c r="I155" s="108">
        <v>15.9</v>
      </c>
      <c r="J155" s="108">
        <v>55</v>
      </c>
      <c r="K155" s="108">
        <v>10</v>
      </c>
      <c r="L155" s="108">
        <v>22</v>
      </c>
      <c r="M155" s="108" t="s">
        <v>1041</v>
      </c>
      <c r="N155" s="108" t="s">
        <v>1042</v>
      </c>
      <c r="S155" s="108" t="s">
        <v>1043</v>
      </c>
      <c r="T155" s="108" t="str">
        <f>IF(T150=0,0,T154)</f>
        <v>α leo</v>
      </c>
      <c r="X155" s="108" t="s">
        <v>661</v>
      </c>
      <c r="Y155" s="108" t="s">
        <v>321</v>
      </c>
      <c r="CL155" s="108" t="s">
        <v>3862</v>
      </c>
      <c r="CM155" s="108">
        <f>BE53+CM154</f>
        <v>0</v>
      </c>
    </row>
    <row r="156" spans="1:93">
      <c r="A156" s="108">
        <v>149</v>
      </c>
      <c r="B156" s="108" t="str">
        <f t="shared" si="61"/>
        <v>α leo</v>
      </c>
      <c r="C156" s="108">
        <f t="shared" si="62"/>
        <v>0</v>
      </c>
      <c r="F156" s="108" t="s">
        <v>1044</v>
      </c>
      <c r="G156" s="108">
        <v>17</v>
      </c>
      <c r="H156" s="108">
        <v>53</v>
      </c>
      <c r="I156" s="108">
        <v>31.7</v>
      </c>
      <c r="J156" s="108">
        <v>56</v>
      </c>
      <c r="K156" s="108">
        <v>52</v>
      </c>
      <c r="L156" s="108">
        <v>22</v>
      </c>
      <c r="M156" s="108" t="s">
        <v>1045</v>
      </c>
      <c r="N156" s="108" t="s">
        <v>1046</v>
      </c>
      <c r="S156" s="109" t="s">
        <v>11</v>
      </c>
      <c r="X156" s="108" t="s">
        <v>1047</v>
      </c>
      <c r="Y156" s="108" t="s">
        <v>141</v>
      </c>
      <c r="CL156" s="108" t="s">
        <v>3863</v>
      </c>
      <c r="CM156" s="108" t="str">
        <f ca="1">IF(CN156=0,CM151,"")</f>
        <v/>
      </c>
      <c r="CN156" s="108">
        <f>CM155</f>
        <v>0</v>
      </c>
    </row>
    <row r="157" spans="1:93">
      <c r="A157" s="108">
        <v>150</v>
      </c>
      <c r="B157" s="108" t="str">
        <f t="shared" si="61"/>
        <v>α leo</v>
      </c>
      <c r="C157" s="108">
        <f t="shared" si="62"/>
        <v>0</v>
      </c>
      <c r="F157" s="108" t="s">
        <v>1048</v>
      </c>
      <c r="G157" s="108">
        <v>19</v>
      </c>
      <c r="H157" s="108">
        <v>15</v>
      </c>
      <c r="I157" s="108">
        <v>33.1</v>
      </c>
      <c r="J157" s="108">
        <v>73</v>
      </c>
      <c r="K157" s="108">
        <v>21</v>
      </c>
      <c r="L157" s="108">
        <v>20</v>
      </c>
      <c r="M157" s="108" t="s">
        <v>1049</v>
      </c>
      <c r="N157" s="108" t="s">
        <v>1050</v>
      </c>
      <c r="R157" s="108" t="s">
        <v>1023</v>
      </c>
      <c r="S157" s="108" t="s">
        <v>1018</v>
      </c>
      <c r="T157" s="108">
        <f>U147</f>
        <v>0</v>
      </c>
      <c r="X157" s="108" t="s">
        <v>1051</v>
      </c>
      <c r="Y157" s="108" t="s">
        <v>141</v>
      </c>
      <c r="CM157" s="108" t="str">
        <f t="shared" ref="CM157:CM158" ca="1" si="70">IF(CN157=0,CM152,"")</f>
        <v/>
      </c>
      <c r="CN157" s="108">
        <f>CM155</f>
        <v>0</v>
      </c>
    </row>
    <row r="158" spans="1:93">
      <c r="A158" s="108">
        <v>151</v>
      </c>
      <c r="B158" s="108" t="str">
        <f t="shared" si="61"/>
        <v>α leo</v>
      </c>
      <c r="C158" s="108">
        <f t="shared" si="62"/>
        <v>0</v>
      </c>
      <c r="F158" s="108" t="s">
        <v>1052</v>
      </c>
      <c r="G158" s="108">
        <v>18</v>
      </c>
      <c r="H158" s="108">
        <v>20</v>
      </c>
      <c r="I158" s="108">
        <v>45.5</v>
      </c>
      <c r="J158" s="108">
        <v>71</v>
      </c>
      <c r="K158" s="108">
        <v>20</v>
      </c>
      <c r="L158" s="108">
        <v>16</v>
      </c>
      <c r="M158" s="108" t="s">
        <v>1053</v>
      </c>
      <c r="N158" s="108" t="s">
        <v>1054</v>
      </c>
      <c r="S158" s="108" t="s">
        <v>1024</v>
      </c>
      <c r="T158" s="108" t="str">
        <f>IF(T159=0,""," ")</f>
        <v xml:space="preserve"> </v>
      </c>
      <c r="X158" s="108" t="s">
        <v>1055</v>
      </c>
      <c r="Y158" s="108" t="s">
        <v>141</v>
      </c>
      <c r="CM158" s="108" t="str">
        <f t="shared" ca="1" si="70"/>
        <v/>
      </c>
      <c r="CN158" s="108">
        <f>CM155</f>
        <v>0</v>
      </c>
    </row>
    <row r="159" spans="1:93">
      <c r="A159" s="108">
        <v>152</v>
      </c>
      <c r="B159" s="108" t="str">
        <f t="shared" si="61"/>
        <v>α leo</v>
      </c>
      <c r="C159" s="108">
        <f t="shared" si="62"/>
        <v>0</v>
      </c>
      <c r="F159" s="108" t="s">
        <v>1056</v>
      </c>
      <c r="G159" s="108">
        <v>18</v>
      </c>
      <c r="H159" s="108">
        <v>21</v>
      </c>
      <c r="I159" s="108">
        <v>3.4</v>
      </c>
      <c r="J159" s="108">
        <v>72</v>
      </c>
      <c r="K159" s="108">
        <v>43</v>
      </c>
      <c r="L159" s="108">
        <v>58</v>
      </c>
      <c r="M159" s="108" t="s">
        <v>1057</v>
      </c>
      <c r="N159" s="108" t="s">
        <v>1058</v>
      </c>
      <c r="S159" s="108" t="s">
        <v>1028</v>
      </c>
      <c r="T159" s="108" t="str">
        <f>T39</f>
        <v xml:space="preserve"> </v>
      </c>
      <c r="X159" s="108" t="s">
        <v>1059</v>
      </c>
      <c r="Y159" s="108" t="s">
        <v>141</v>
      </c>
    </row>
    <row r="160" spans="1:93">
      <c r="A160" s="108">
        <v>153</v>
      </c>
      <c r="B160" s="108" t="str">
        <f t="shared" si="61"/>
        <v>α leo</v>
      </c>
      <c r="C160" s="108">
        <f t="shared" si="62"/>
        <v>0</v>
      </c>
      <c r="F160" s="108" t="s">
        <v>1060</v>
      </c>
      <c r="G160" s="116"/>
      <c r="H160" s="116"/>
      <c r="I160" s="116"/>
      <c r="J160" s="116"/>
      <c r="K160" s="116"/>
      <c r="L160" s="116"/>
      <c r="M160" s="116" t="s">
        <v>1061</v>
      </c>
      <c r="N160" s="116" t="s">
        <v>1062</v>
      </c>
      <c r="S160" s="108" t="s">
        <v>1033</v>
      </c>
      <c r="T160" s="108" t="str">
        <f>IF(T159=0,"",T159)</f>
        <v xml:space="preserve"> </v>
      </c>
      <c r="X160" s="108" t="s">
        <v>1063</v>
      </c>
      <c r="Y160" s="108" t="s">
        <v>141</v>
      </c>
    </row>
    <row r="161" spans="1:25">
      <c r="A161" s="108">
        <v>154</v>
      </c>
      <c r="B161" s="108" t="str">
        <f t="shared" si="61"/>
        <v>α leo</v>
      </c>
      <c r="C161" s="108">
        <f t="shared" si="62"/>
        <v>0</v>
      </c>
      <c r="F161" s="108" t="s">
        <v>1064</v>
      </c>
      <c r="G161" s="108">
        <v>5</v>
      </c>
      <c r="H161" s="108">
        <v>27</v>
      </c>
      <c r="I161" s="108">
        <v>28.2</v>
      </c>
      <c r="J161" s="108">
        <v>-12</v>
      </c>
      <c r="K161" s="108">
        <v>-41</v>
      </c>
      <c r="L161" s="108">
        <v>-50</v>
      </c>
      <c r="M161" s="108" t="s">
        <v>1065</v>
      </c>
      <c r="N161" s="108" t="s">
        <v>1066</v>
      </c>
      <c r="S161" s="108" t="s">
        <v>1038</v>
      </c>
      <c r="T161" s="108" t="str">
        <f>CONCATENATE(T157,T158,T160)</f>
        <v xml:space="preserve">0  </v>
      </c>
      <c r="X161" s="108" t="s">
        <v>1067</v>
      </c>
      <c r="Y161" s="108" t="s">
        <v>141</v>
      </c>
    </row>
    <row r="162" spans="1:25">
      <c r="A162" s="108">
        <v>155</v>
      </c>
      <c r="B162" s="108" t="str">
        <f t="shared" si="61"/>
        <v>α leo</v>
      </c>
      <c r="C162" s="108">
        <f t="shared" si="62"/>
        <v>0</v>
      </c>
      <c r="F162" s="108" t="s">
        <v>1068</v>
      </c>
      <c r="G162" s="108">
        <v>18</v>
      </c>
      <c r="H162" s="108">
        <v>10</v>
      </c>
      <c r="I162" s="108">
        <v>44.3</v>
      </c>
      <c r="J162" s="108">
        <v>-7</v>
      </c>
      <c r="K162" s="108">
        <v>-12</v>
      </c>
      <c r="L162" s="108">
        <v>-27</v>
      </c>
      <c r="M162" s="108" t="s">
        <v>1069</v>
      </c>
      <c r="N162" s="108" t="s">
        <v>1070</v>
      </c>
      <c r="S162" s="108" t="s">
        <v>1043</v>
      </c>
      <c r="T162" s="110">
        <f>IF(T157=0,0,T161)</f>
        <v>0</v>
      </c>
      <c r="X162" s="108" t="s">
        <v>1071</v>
      </c>
      <c r="Y162" s="108" t="s">
        <v>141</v>
      </c>
    </row>
    <row r="163" spans="1:25">
      <c r="A163" s="108">
        <v>156</v>
      </c>
      <c r="B163" s="108" t="str">
        <f t="shared" si="61"/>
        <v>α leo</v>
      </c>
      <c r="C163" s="108">
        <f t="shared" si="62"/>
        <v>0</v>
      </c>
      <c r="F163" s="108" t="s">
        <v>1072</v>
      </c>
      <c r="G163" s="108">
        <v>3</v>
      </c>
      <c r="H163" s="108">
        <v>56</v>
      </c>
      <c r="I163" s="108">
        <v>22</v>
      </c>
      <c r="J163" s="108">
        <v>33</v>
      </c>
      <c r="K163" s="108">
        <v>52</v>
      </c>
      <c r="L163" s="108">
        <v>29</v>
      </c>
      <c r="M163" s="108" t="s">
        <v>1073</v>
      </c>
      <c r="N163" s="108" t="s">
        <v>1073</v>
      </c>
      <c r="X163" s="108" t="s">
        <v>1074</v>
      </c>
      <c r="Y163" s="108" t="s">
        <v>141</v>
      </c>
    </row>
    <row r="164" spans="1:25">
      <c r="A164" s="108">
        <v>157</v>
      </c>
      <c r="B164" s="108" t="str">
        <f t="shared" si="61"/>
        <v>α leo</v>
      </c>
      <c r="C164" s="108">
        <f t="shared" si="62"/>
        <v>0</v>
      </c>
      <c r="F164" s="108" t="s">
        <v>1075</v>
      </c>
      <c r="G164" s="108">
        <v>5</v>
      </c>
      <c r="H164" s="108">
        <v>56</v>
      </c>
      <c r="I164" s="108">
        <v>23.9</v>
      </c>
      <c r="J164" s="108">
        <v>46</v>
      </c>
      <c r="K164" s="108">
        <v>6</v>
      </c>
      <c r="L164" s="108">
        <v>18</v>
      </c>
      <c r="M164" s="108" t="s">
        <v>1076</v>
      </c>
      <c r="N164" s="108" t="s">
        <v>1077</v>
      </c>
      <c r="X164" s="108" t="s">
        <v>1078</v>
      </c>
      <c r="Y164" s="108" t="s">
        <v>141</v>
      </c>
    </row>
    <row r="165" spans="1:25">
      <c r="A165" s="108">
        <v>158</v>
      </c>
      <c r="B165" s="108" t="str">
        <f t="shared" si="61"/>
        <v>α leo</v>
      </c>
      <c r="C165" s="108">
        <f t="shared" si="62"/>
        <v>0</v>
      </c>
      <c r="F165" s="108" t="s">
        <v>1079</v>
      </c>
      <c r="G165" s="108">
        <v>6</v>
      </c>
      <c r="H165" s="108">
        <v>21</v>
      </c>
      <c r="I165" s="108">
        <v>42.8</v>
      </c>
      <c r="J165" s="108">
        <v>-12</v>
      </c>
      <c r="K165" s="108">
        <v>-59</v>
      </c>
      <c r="L165" s="108">
        <v>-14</v>
      </c>
      <c r="M165" s="108" t="s">
        <v>1080</v>
      </c>
      <c r="N165" s="108" t="s">
        <v>1077</v>
      </c>
      <c r="X165" s="108" t="s">
        <v>1081</v>
      </c>
      <c r="Y165" s="108" t="s">
        <v>141</v>
      </c>
    </row>
    <row r="166" spans="1:25">
      <c r="A166" s="108">
        <v>159</v>
      </c>
      <c r="B166" s="108" t="str">
        <f t="shared" si="61"/>
        <v>α leo</v>
      </c>
      <c r="C166" s="108">
        <f t="shared" si="62"/>
        <v>0</v>
      </c>
      <c r="F166" s="108" t="s">
        <v>1082</v>
      </c>
      <c r="G166" s="108">
        <v>12</v>
      </c>
      <c r="H166" s="108">
        <v>33</v>
      </c>
      <c r="I166" s="108">
        <v>6.9</v>
      </c>
      <c r="J166" s="108">
        <v>82</v>
      </c>
      <c r="K166" s="108">
        <v>33</v>
      </c>
      <c r="L166" s="108">
        <v>49</v>
      </c>
      <c r="M166" s="108" t="s">
        <v>1083</v>
      </c>
      <c r="N166" s="108" t="s">
        <v>1084</v>
      </c>
      <c r="X166" s="108" t="s">
        <v>1085</v>
      </c>
      <c r="Y166" s="108" t="s">
        <v>141</v>
      </c>
    </row>
    <row r="167" spans="1:25">
      <c r="A167" s="108">
        <v>160</v>
      </c>
      <c r="B167" s="108" t="str">
        <f t="shared" si="61"/>
        <v>α leo</v>
      </c>
      <c r="C167" s="108">
        <f t="shared" si="62"/>
        <v>0</v>
      </c>
      <c r="F167" s="108" t="s">
        <v>1086</v>
      </c>
      <c r="G167" s="108">
        <v>18</v>
      </c>
      <c r="H167" s="108">
        <v>45</v>
      </c>
      <c r="I167" s="108">
        <v>50.7</v>
      </c>
      <c r="J167" s="108">
        <v>-33</v>
      </c>
      <c r="K167" s="108">
        <v>-20</v>
      </c>
      <c r="L167" s="108">
        <v>-34</v>
      </c>
      <c r="M167" s="108" t="s">
        <v>1087</v>
      </c>
      <c r="N167" s="108" t="s">
        <v>1077</v>
      </c>
      <c r="X167" s="108" t="s">
        <v>1088</v>
      </c>
      <c r="Y167" s="108" t="s">
        <v>141</v>
      </c>
    </row>
    <row r="168" spans="1:25">
      <c r="A168" s="108">
        <v>161</v>
      </c>
      <c r="B168" s="108" t="str">
        <f t="shared" si="61"/>
        <v>α leo</v>
      </c>
      <c r="C168" s="108">
        <f t="shared" si="62"/>
        <v>0</v>
      </c>
      <c r="F168" s="108" t="s">
        <v>1089</v>
      </c>
      <c r="G168" s="108">
        <v>20</v>
      </c>
      <c r="H168" s="108">
        <v>20</v>
      </c>
      <c r="I168" s="108">
        <v>8.8000000000000007</v>
      </c>
      <c r="J168" s="108">
        <v>16</v>
      </c>
      <c r="K168" s="108">
        <v>43</v>
      </c>
      <c r="L168" s="108">
        <v>54</v>
      </c>
      <c r="M168" s="108" t="s">
        <v>1090</v>
      </c>
      <c r="N168" s="108" t="s">
        <v>1091</v>
      </c>
      <c r="X168" s="108" t="s">
        <v>1092</v>
      </c>
      <c r="Y168" s="108" t="s">
        <v>141</v>
      </c>
    </row>
    <row r="169" spans="1:25">
      <c r="A169" s="108">
        <v>162</v>
      </c>
      <c r="B169" s="108" t="str">
        <f t="shared" si="61"/>
        <v>α leo</v>
      </c>
      <c r="C169" s="108">
        <f t="shared" si="62"/>
        <v>0</v>
      </c>
      <c r="F169" s="108" t="s">
        <v>1093</v>
      </c>
      <c r="G169" s="108">
        <v>21</v>
      </c>
      <c r="H169" s="108">
        <v>53</v>
      </c>
      <c r="I169" s="108">
        <v>24</v>
      </c>
      <c r="J169" s="108">
        <v>47</v>
      </c>
      <c r="K169" s="108">
        <v>16</v>
      </c>
      <c r="L169" s="108">
        <v>0</v>
      </c>
      <c r="M169" s="108" t="s">
        <v>1094</v>
      </c>
      <c r="N169" s="108" t="s">
        <v>1095</v>
      </c>
      <c r="X169" s="108" t="s">
        <v>1096</v>
      </c>
      <c r="Y169" s="108" t="s">
        <v>141</v>
      </c>
    </row>
    <row r="170" spans="1:25">
      <c r="A170" s="108">
        <v>163</v>
      </c>
      <c r="B170" s="108" t="str">
        <f t="shared" si="61"/>
        <v>α leo</v>
      </c>
      <c r="C170" s="108">
        <f t="shared" si="62"/>
        <v>0</v>
      </c>
      <c r="F170" s="108" t="s">
        <v>1097</v>
      </c>
      <c r="G170" s="108">
        <v>22</v>
      </c>
      <c r="H170" s="108">
        <v>58</v>
      </c>
      <c r="I170" s="108">
        <v>1.8</v>
      </c>
      <c r="J170" s="108">
        <v>-33</v>
      </c>
      <c r="K170" s="108">
        <v>-43</v>
      </c>
      <c r="L170" s="108">
        <v>-32</v>
      </c>
      <c r="M170" s="108" t="s">
        <v>1098</v>
      </c>
      <c r="N170" s="108" t="s">
        <v>1099</v>
      </c>
      <c r="X170" s="108" t="s">
        <v>1100</v>
      </c>
      <c r="Y170" s="108" t="s">
        <v>141</v>
      </c>
    </row>
    <row r="171" spans="1:25">
      <c r="A171" s="108">
        <v>164</v>
      </c>
      <c r="B171" s="108" t="str">
        <f t="shared" si="61"/>
        <v>α leo</v>
      </c>
      <c r="C171" s="108">
        <f t="shared" si="62"/>
        <v>0</v>
      </c>
      <c r="F171" s="108" t="s">
        <v>633</v>
      </c>
      <c r="M171" s="108" t="s">
        <v>1101</v>
      </c>
      <c r="N171" s="108" t="s">
        <v>604</v>
      </c>
      <c r="X171" s="108" t="s">
        <v>1102</v>
      </c>
      <c r="Y171" s="108" t="s">
        <v>141</v>
      </c>
    </row>
    <row r="172" spans="1:25">
      <c r="A172" s="108">
        <v>165</v>
      </c>
      <c r="B172" s="108" t="str">
        <f t="shared" si="61"/>
        <v>α leo</v>
      </c>
      <c r="C172" s="108">
        <f t="shared" si="62"/>
        <v>0</v>
      </c>
      <c r="F172" s="108" t="s">
        <v>1103</v>
      </c>
      <c r="G172" s="108">
        <v>10</v>
      </c>
      <c r="H172" s="108">
        <v>7</v>
      </c>
      <c r="I172" s="108">
        <v>56.3</v>
      </c>
      <c r="J172" s="108">
        <v>0</v>
      </c>
      <c r="K172" s="108">
        <v>-22</v>
      </c>
      <c r="L172" s="108">
        <v>-18</v>
      </c>
      <c r="M172" s="108" t="s">
        <v>1104</v>
      </c>
      <c r="N172" s="108" t="s">
        <v>1105</v>
      </c>
      <c r="X172" s="108" t="s">
        <v>1106</v>
      </c>
      <c r="Y172" s="108" t="s">
        <v>141</v>
      </c>
    </row>
    <row r="173" spans="1:25">
      <c r="A173" s="108">
        <v>166</v>
      </c>
      <c r="B173" s="108" t="str">
        <f t="shared" si="61"/>
        <v>α leo</v>
      </c>
      <c r="C173" s="108">
        <f t="shared" si="62"/>
        <v>0</v>
      </c>
      <c r="F173" s="108" t="s">
        <v>1107</v>
      </c>
      <c r="G173" s="108">
        <v>10</v>
      </c>
      <c r="H173" s="108">
        <v>30</v>
      </c>
      <c r="I173" s="108">
        <v>17.5</v>
      </c>
      <c r="J173" s="108">
        <v>0</v>
      </c>
      <c r="K173" s="108">
        <v>-38</v>
      </c>
      <c r="L173" s="108">
        <v>-13</v>
      </c>
      <c r="M173" s="108" t="s">
        <v>1108</v>
      </c>
      <c r="N173" s="108" t="s">
        <v>1109</v>
      </c>
      <c r="X173" s="108" t="s">
        <v>1110</v>
      </c>
      <c r="Y173" s="108" t="s">
        <v>141</v>
      </c>
    </row>
    <row r="174" spans="1:25">
      <c r="A174" s="108">
        <v>167</v>
      </c>
      <c r="B174" s="108" t="str">
        <f t="shared" si="61"/>
        <v>α leo</v>
      </c>
      <c r="C174" s="108">
        <f t="shared" si="62"/>
        <v>0</v>
      </c>
      <c r="F174" s="108" t="s">
        <v>1111</v>
      </c>
      <c r="G174" s="108">
        <v>9</v>
      </c>
      <c r="H174" s="108">
        <v>52</v>
      </c>
      <c r="I174" s="108">
        <v>30.4</v>
      </c>
      <c r="J174" s="108">
        <v>-8</v>
      </c>
      <c r="K174" s="108">
        <v>-6</v>
      </c>
      <c r="L174" s="108">
        <v>-18</v>
      </c>
      <c r="M174" s="108" t="s">
        <v>1112</v>
      </c>
      <c r="N174" s="108" t="s">
        <v>1113</v>
      </c>
      <c r="X174" s="108" t="s">
        <v>1114</v>
      </c>
      <c r="Y174" s="108" t="s">
        <v>141</v>
      </c>
    </row>
    <row r="175" spans="1:25">
      <c r="A175" s="108">
        <v>168</v>
      </c>
      <c r="B175" s="108" t="str">
        <f t="shared" si="61"/>
        <v>α leo</v>
      </c>
      <c r="C175" s="108">
        <f t="shared" si="62"/>
        <v>0</v>
      </c>
      <c r="F175" s="108" t="s">
        <v>417</v>
      </c>
      <c r="M175" s="108" t="s">
        <v>1115</v>
      </c>
      <c r="N175" s="108" t="s">
        <v>416</v>
      </c>
      <c r="X175" s="108" t="s">
        <v>144</v>
      </c>
      <c r="Y175" s="108" t="s">
        <v>141</v>
      </c>
    </row>
    <row r="176" spans="1:25">
      <c r="A176" s="108">
        <v>169</v>
      </c>
      <c r="B176" s="108" t="str">
        <f t="shared" si="61"/>
        <v>α leo</v>
      </c>
      <c r="C176" s="108">
        <f t="shared" si="62"/>
        <v>0</v>
      </c>
      <c r="F176" s="108" t="s">
        <v>1116</v>
      </c>
      <c r="G176" s="108">
        <v>14</v>
      </c>
      <c r="H176" s="108">
        <v>50</v>
      </c>
      <c r="I176" s="108">
        <v>52.8</v>
      </c>
      <c r="J176" s="108">
        <v>-16</v>
      </c>
      <c r="K176" s="108">
        <v>-2</v>
      </c>
      <c r="L176" s="108">
        <v>-30</v>
      </c>
      <c r="M176" s="108" t="s">
        <v>1117</v>
      </c>
      <c r="N176" s="108" t="s">
        <v>1118</v>
      </c>
      <c r="X176" s="108" t="s">
        <v>1119</v>
      </c>
      <c r="Y176" s="108" t="s">
        <v>514</v>
      </c>
    </row>
    <row r="177" spans="1:25">
      <c r="A177" s="108">
        <v>170</v>
      </c>
      <c r="B177" s="108" t="str">
        <f t="shared" si="61"/>
        <v>α leo</v>
      </c>
      <c r="C177" s="108">
        <f t="shared" si="62"/>
        <v>0</v>
      </c>
      <c r="F177" s="108" t="s">
        <v>1120</v>
      </c>
      <c r="G177" s="108">
        <v>15</v>
      </c>
      <c r="H177" s="108">
        <v>17</v>
      </c>
      <c r="I177" s="108">
        <v>0.4</v>
      </c>
      <c r="J177" s="108">
        <v>-9</v>
      </c>
      <c r="K177" s="108">
        <v>-22</v>
      </c>
      <c r="L177" s="108">
        <v>-58</v>
      </c>
      <c r="M177" s="108" t="s">
        <v>1121</v>
      </c>
      <c r="N177" s="108" t="s">
        <v>1122</v>
      </c>
      <c r="X177" s="108" t="s">
        <v>1123</v>
      </c>
      <c r="Y177" s="108" t="s">
        <v>514</v>
      </c>
    </row>
    <row r="178" spans="1:25">
      <c r="A178" s="108">
        <v>171</v>
      </c>
      <c r="B178" s="108" t="str">
        <f t="shared" si="61"/>
        <v>α leo</v>
      </c>
      <c r="C178" s="108">
        <f t="shared" si="62"/>
        <v>0</v>
      </c>
      <c r="F178" s="108" t="s">
        <v>1124</v>
      </c>
      <c r="G178" s="108">
        <v>15</v>
      </c>
      <c r="H178" s="108">
        <v>35</v>
      </c>
      <c r="I178" s="108">
        <v>31.6</v>
      </c>
      <c r="J178" s="108">
        <v>-14</v>
      </c>
      <c r="K178" s="108">
        <v>-47</v>
      </c>
      <c r="L178" s="108">
        <v>-22</v>
      </c>
      <c r="M178" s="108" t="s">
        <v>1125</v>
      </c>
      <c r="N178" s="108" t="s">
        <v>1126</v>
      </c>
      <c r="X178" s="108" t="s">
        <v>1127</v>
      </c>
      <c r="Y178" s="108" t="s">
        <v>514</v>
      </c>
    </row>
    <row r="179" spans="1:25">
      <c r="A179" s="108">
        <v>172</v>
      </c>
      <c r="B179" s="108" t="str">
        <f t="shared" si="61"/>
        <v>α leo</v>
      </c>
      <c r="C179" s="108">
        <f t="shared" si="62"/>
        <v>0</v>
      </c>
      <c r="F179" s="108" t="s">
        <v>1128</v>
      </c>
      <c r="G179" s="108">
        <v>15</v>
      </c>
      <c r="H179" s="108">
        <v>4</v>
      </c>
      <c r="I179" s="108">
        <v>4.2</v>
      </c>
      <c r="J179" s="108">
        <v>-25</v>
      </c>
      <c r="K179" s="108">
        <v>-16</v>
      </c>
      <c r="L179" s="108">
        <v>-55</v>
      </c>
      <c r="M179" s="108" t="s">
        <v>1129</v>
      </c>
      <c r="N179" s="108" t="s">
        <v>1130</v>
      </c>
      <c r="X179" s="108" t="s">
        <v>669</v>
      </c>
      <c r="Y179" s="108" t="s">
        <v>514</v>
      </c>
    </row>
    <row r="180" spans="1:25">
      <c r="A180" s="108">
        <v>173</v>
      </c>
      <c r="B180" s="108" t="str">
        <f t="shared" si="61"/>
        <v>α leo</v>
      </c>
      <c r="C180" s="108">
        <f t="shared" si="62"/>
        <v>0</v>
      </c>
      <c r="F180" s="108" t="s">
        <v>100</v>
      </c>
      <c r="M180" s="108" t="s">
        <v>1131</v>
      </c>
      <c r="N180" s="108" t="s">
        <v>98</v>
      </c>
      <c r="X180" s="108" t="s">
        <v>1132</v>
      </c>
      <c r="Y180" s="108" t="s">
        <v>152</v>
      </c>
    </row>
    <row r="181" spans="1:25">
      <c r="A181" s="108">
        <v>174</v>
      </c>
      <c r="B181" s="108" t="str">
        <f t="shared" si="61"/>
        <v>α leo</v>
      </c>
      <c r="C181" s="108">
        <f t="shared" si="62"/>
        <v>0</v>
      </c>
      <c r="F181" s="108" t="s">
        <v>1133</v>
      </c>
      <c r="G181" s="108">
        <v>5</v>
      </c>
      <c r="H181" s="108">
        <v>16</v>
      </c>
      <c r="I181" s="108">
        <v>41.4</v>
      </c>
      <c r="J181" s="108">
        <v>45</v>
      </c>
      <c r="K181" s="108">
        <v>59</v>
      </c>
      <c r="L181" s="108">
        <v>53</v>
      </c>
      <c r="M181" s="108" t="s">
        <v>1134</v>
      </c>
      <c r="N181" s="108" t="s">
        <v>1135</v>
      </c>
      <c r="X181" s="108" t="s">
        <v>1136</v>
      </c>
      <c r="Y181" s="108" t="s">
        <v>152</v>
      </c>
    </row>
    <row r="182" spans="1:25">
      <c r="A182" s="108">
        <v>175</v>
      </c>
      <c r="B182" s="108" t="str">
        <f t="shared" si="61"/>
        <v>α leo</v>
      </c>
      <c r="C182" s="108">
        <f t="shared" si="62"/>
        <v>0</v>
      </c>
      <c r="F182" s="108" t="s">
        <v>1137</v>
      </c>
      <c r="G182" s="108">
        <v>5</v>
      </c>
      <c r="H182" s="108">
        <v>59</v>
      </c>
      <c r="I182" s="108">
        <v>31.7</v>
      </c>
      <c r="J182" s="108">
        <v>44</v>
      </c>
      <c r="K182" s="108">
        <v>56</v>
      </c>
      <c r="L182" s="108">
        <v>51</v>
      </c>
      <c r="M182" s="108" t="s">
        <v>1138</v>
      </c>
      <c r="N182" s="108" t="s">
        <v>1139</v>
      </c>
      <c r="X182" s="108" t="s">
        <v>1140</v>
      </c>
      <c r="Y182" s="108" t="s">
        <v>152</v>
      </c>
    </row>
    <row r="183" spans="1:25">
      <c r="A183" s="108">
        <v>176</v>
      </c>
      <c r="B183" s="108" t="str">
        <f t="shared" si="61"/>
        <v>α leo</v>
      </c>
      <c r="C183" s="108">
        <f t="shared" si="62"/>
        <v>0</v>
      </c>
      <c r="F183" s="108" t="s">
        <v>1141</v>
      </c>
      <c r="G183" s="108">
        <v>5</v>
      </c>
      <c r="H183" s="108">
        <v>59</v>
      </c>
      <c r="I183" s="108">
        <v>43.3</v>
      </c>
      <c r="J183" s="108">
        <v>37</v>
      </c>
      <c r="K183" s="108">
        <v>12</v>
      </c>
      <c r="L183" s="108">
        <v>45</v>
      </c>
      <c r="M183" s="108" t="s">
        <v>1142</v>
      </c>
      <c r="N183" s="108" t="s">
        <v>1143</v>
      </c>
      <c r="X183" s="108" t="s">
        <v>1144</v>
      </c>
      <c r="Y183" s="108" t="s">
        <v>152</v>
      </c>
    </row>
    <row r="184" spans="1:25">
      <c r="A184" s="108">
        <v>177</v>
      </c>
      <c r="B184" s="108" t="str">
        <f t="shared" si="61"/>
        <v>α leo</v>
      </c>
      <c r="C184" s="108">
        <f t="shared" si="62"/>
        <v>0</v>
      </c>
      <c r="F184" s="108" t="s">
        <v>1145</v>
      </c>
      <c r="G184" s="108">
        <v>4</v>
      </c>
      <c r="H184" s="108">
        <v>56</v>
      </c>
      <c r="I184" s="108">
        <v>59.6</v>
      </c>
      <c r="J184" s="108">
        <v>33</v>
      </c>
      <c r="K184" s="108">
        <v>9</v>
      </c>
      <c r="L184" s="108">
        <v>58</v>
      </c>
      <c r="M184" s="108" t="s">
        <v>1146</v>
      </c>
      <c r="N184" s="108" t="s">
        <v>1147</v>
      </c>
      <c r="X184" s="108" t="s">
        <v>1148</v>
      </c>
      <c r="Y184" s="108" t="s">
        <v>152</v>
      </c>
    </row>
    <row r="185" spans="1:25">
      <c r="A185" s="108">
        <v>178</v>
      </c>
      <c r="B185" s="108" t="str">
        <f t="shared" si="61"/>
        <v>α leo</v>
      </c>
      <c r="C185" s="108">
        <f t="shared" si="62"/>
        <v>0</v>
      </c>
      <c r="F185" s="108" t="s">
        <v>362</v>
      </c>
      <c r="M185" s="108" t="s">
        <v>1149</v>
      </c>
      <c r="N185" s="108" t="s">
        <v>360</v>
      </c>
      <c r="X185" s="108" t="s">
        <v>1150</v>
      </c>
      <c r="Y185" s="108" t="s">
        <v>152</v>
      </c>
    </row>
    <row r="186" spans="1:25">
      <c r="A186" s="108">
        <v>179</v>
      </c>
      <c r="B186" s="108" t="str">
        <f t="shared" si="61"/>
        <v>α leo</v>
      </c>
      <c r="C186" s="108">
        <f t="shared" si="62"/>
        <v>0</v>
      </c>
      <c r="F186" s="108" t="s">
        <v>1151</v>
      </c>
      <c r="G186" s="108">
        <v>18</v>
      </c>
      <c r="H186" s="108">
        <v>1</v>
      </c>
      <c r="I186" s="108">
        <v>30.4</v>
      </c>
      <c r="J186" s="108">
        <v>21</v>
      </c>
      <c r="K186" s="108">
        <v>35</v>
      </c>
      <c r="L186" s="108">
        <v>45</v>
      </c>
      <c r="M186" s="108" t="s">
        <v>1152</v>
      </c>
      <c r="N186" s="108" t="s">
        <v>1153</v>
      </c>
      <c r="X186" s="108" t="s">
        <v>1154</v>
      </c>
      <c r="Y186" s="108" t="s">
        <v>152</v>
      </c>
    </row>
    <row r="187" spans="1:25">
      <c r="A187" s="108">
        <v>180</v>
      </c>
      <c r="B187" s="108" t="str">
        <f t="shared" si="61"/>
        <v>α leo</v>
      </c>
      <c r="C187" s="108">
        <f t="shared" si="62"/>
        <v>0</v>
      </c>
      <c r="F187" s="108" t="s">
        <v>1155</v>
      </c>
      <c r="G187" s="108">
        <v>17</v>
      </c>
      <c r="H187" s="108">
        <v>14</v>
      </c>
      <c r="I187" s="108">
        <v>38.9</v>
      </c>
      <c r="J187" s="108">
        <v>14</v>
      </c>
      <c r="K187" s="108">
        <v>23</v>
      </c>
      <c r="L187" s="108">
        <v>25</v>
      </c>
      <c r="M187" s="108" t="s">
        <v>1156</v>
      </c>
      <c r="N187" s="108" t="s">
        <v>1157</v>
      </c>
      <c r="X187" s="108" t="s">
        <v>155</v>
      </c>
      <c r="Y187" s="108" t="s">
        <v>152</v>
      </c>
    </row>
    <row r="188" spans="1:25">
      <c r="A188" s="108">
        <v>181</v>
      </c>
      <c r="B188" s="108" t="str">
        <f t="shared" si="61"/>
        <v>α leo</v>
      </c>
      <c r="C188" s="108">
        <f t="shared" si="62"/>
        <v>0</v>
      </c>
      <c r="F188" s="108" t="s">
        <v>1158</v>
      </c>
      <c r="G188" s="108">
        <v>16</v>
      </c>
      <c r="H188" s="108">
        <v>30</v>
      </c>
      <c r="I188" s="108">
        <v>13.2</v>
      </c>
      <c r="J188" s="108">
        <v>21</v>
      </c>
      <c r="K188" s="108">
        <v>29</v>
      </c>
      <c r="L188" s="108">
        <v>23</v>
      </c>
      <c r="M188" s="108" t="s">
        <v>1159</v>
      </c>
      <c r="N188" s="108" t="s">
        <v>1160</v>
      </c>
      <c r="X188" s="108" t="s">
        <v>1161</v>
      </c>
      <c r="Y188" s="108" t="s">
        <v>396</v>
      </c>
    </row>
    <row r="189" spans="1:25">
      <c r="A189" s="108">
        <v>182</v>
      </c>
      <c r="B189" s="108" t="str">
        <f t="shared" si="61"/>
        <v>α leo</v>
      </c>
      <c r="C189" s="108">
        <f t="shared" si="62"/>
        <v>0</v>
      </c>
      <c r="F189" s="108" t="s">
        <v>1162</v>
      </c>
      <c r="G189" s="108">
        <v>16</v>
      </c>
      <c r="H189" s="108">
        <v>21</v>
      </c>
      <c r="I189" s="108">
        <v>55.2</v>
      </c>
      <c r="J189" s="108">
        <v>19</v>
      </c>
      <c r="K189" s="108">
        <v>9</v>
      </c>
      <c r="L189" s="108">
        <v>11</v>
      </c>
      <c r="M189" s="108" t="s">
        <v>1163</v>
      </c>
      <c r="N189" s="108" t="s">
        <v>1164</v>
      </c>
      <c r="X189" s="108" t="s">
        <v>1165</v>
      </c>
      <c r="Y189" s="108" t="s">
        <v>396</v>
      </c>
    </row>
    <row r="190" spans="1:25">
      <c r="A190" s="108">
        <v>183</v>
      </c>
      <c r="B190" s="108" t="str">
        <f t="shared" si="61"/>
        <v>α leo</v>
      </c>
      <c r="C190" s="108">
        <f t="shared" si="62"/>
        <v>0</v>
      </c>
      <c r="F190" s="108" t="s">
        <v>1166</v>
      </c>
      <c r="G190" s="108">
        <v>17</v>
      </c>
      <c r="H190" s="108">
        <v>15</v>
      </c>
      <c r="I190" s="108">
        <v>1.9</v>
      </c>
      <c r="J190" s="108">
        <v>24</v>
      </c>
      <c r="K190" s="108">
        <v>50</v>
      </c>
      <c r="L190" s="108">
        <v>21</v>
      </c>
      <c r="M190" s="108" t="s">
        <v>1167</v>
      </c>
      <c r="N190" s="108" t="s">
        <v>1168</v>
      </c>
      <c r="X190" s="108" t="s">
        <v>1169</v>
      </c>
      <c r="Y190" s="108" t="s">
        <v>396</v>
      </c>
    </row>
    <row r="191" spans="1:25">
      <c r="A191" s="108">
        <v>184</v>
      </c>
      <c r="B191" s="108" t="str">
        <f t="shared" si="61"/>
        <v>α leo</v>
      </c>
      <c r="C191" s="108">
        <f t="shared" si="62"/>
        <v>0</v>
      </c>
      <c r="F191" s="108" t="s">
        <v>1170</v>
      </c>
      <c r="G191" s="108">
        <v>17</v>
      </c>
      <c r="H191" s="108">
        <v>0</v>
      </c>
      <c r="I191" s="108">
        <v>17.399999999999999</v>
      </c>
      <c r="J191" s="108">
        <v>30</v>
      </c>
      <c r="K191" s="108">
        <v>55</v>
      </c>
      <c r="L191" s="108">
        <v>35</v>
      </c>
      <c r="M191" s="108" t="s">
        <v>1171</v>
      </c>
      <c r="N191" s="108" t="s">
        <v>1172</v>
      </c>
      <c r="X191" s="108" t="s">
        <v>399</v>
      </c>
      <c r="Y191" s="108" t="s">
        <v>396</v>
      </c>
    </row>
    <row r="192" spans="1:25">
      <c r="A192" s="108">
        <v>185</v>
      </c>
      <c r="B192" s="108" t="str">
        <f t="shared" si="61"/>
        <v>α leo</v>
      </c>
      <c r="C192" s="108">
        <f t="shared" si="62"/>
        <v>0</v>
      </c>
      <c r="F192" s="108" t="s">
        <v>1173</v>
      </c>
      <c r="G192" s="108">
        <v>16</v>
      </c>
      <c r="H192" s="108">
        <v>41</v>
      </c>
      <c r="I192" s="108">
        <v>17.2</v>
      </c>
      <c r="J192" s="108">
        <v>31</v>
      </c>
      <c r="K192" s="108">
        <v>36</v>
      </c>
      <c r="L192" s="108">
        <v>10</v>
      </c>
      <c r="M192" s="108" t="s">
        <v>1174</v>
      </c>
      <c r="N192" s="108" t="s">
        <v>1175</v>
      </c>
      <c r="X192" s="108" t="s">
        <v>1176</v>
      </c>
      <c r="Y192" s="108" t="s">
        <v>152</v>
      </c>
    </row>
    <row r="193" spans="1:25">
      <c r="A193" s="108">
        <v>186</v>
      </c>
      <c r="B193" s="108" t="str">
        <f t="shared" si="61"/>
        <v>α leo</v>
      </c>
      <c r="C193" s="108">
        <f t="shared" si="62"/>
        <v>0</v>
      </c>
      <c r="F193" s="108" t="s">
        <v>1177</v>
      </c>
      <c r="G193" s="108">
        <v>16</v>
      </c>
      <c r="H193" s="108">
        <v>42</v>
      </c>
      <c r="I193" s="108">
        <v>53.8</v>
      </c>
      <c r="J193" s="108">
        <v>38</v>
      </c>
      <c r="K193" s="108">
        <v>55</v>
      </c>
      <c r="L193" s="108">
        <v>20</v>
      </c>
      <c r="M193" s="108" t="s">
        <v>1178</v>
      </c>
      <c r="N193" s="108" t="s">
        <v>1179</v>
      </c>
      <c r="X193" s="108" t="s">
        <v>1180</v>
      </c>
      <c r="Y193" s="108" t="s">
        <v>152</v>
      </c>
    </row>
    <row r="194" spans="1:25">
      <c r="A194" s="108">
        <v>187</v>
      </c>
      <c r="B194" s="108" t="str">
        <f t="shared" si="61"/>
        <v>α leo</v>
      </c>
      <c r="C194" s="108">
        <f t="shared" si="62"/>
        <v>0</v>
      </c>
      <c r="F194" s="108" t="s">
        <v>1181</v>
      </c>
      <c r="G194" s="108">
        <v>17</v>
      </c>
      <c r="H194" s="108">
        <v>56</v>
      </c>
      <c r="I194" s="108">
        <v>15.2</v>
      </c>
      <c r="J194" s="108">
        <v>37</v>
      </c>
      <c r="K194" s="108">
        <v>15</v>
      </c>
      <c r="L194" s="108">
        <v>2</v>
      </c>
      <c r="M194" s="108" t="s">
        <v>1182</v>
      </c>
      <c r="N194" s="108" t="s">
        <v>1183</v>
      </c>
      <c r="X194" s="108" t="s">
        <v>1184</v>
      </c>
      <c r="Y194" s="108" t="s">
        <v>152</v>
      </c>
    </row>
    <row r="195" spans="1:25">
      <c r="A195" s="108">
        <v>188</v>
      </c>
      <c r="B195" s="108" t="str">
        <f t="shared" si="61"/>
        <v>α leo</v>
      </c>
      <c r="C195" s="108">
        <f t="shared" si="62"/>
        <v>0</v>
      </c>
      <c r="F195" s="108" t="s">
        <v>1185</v>
      </c>
      <c r="G195" s="108">
        <v>17</v>
      </c>
      <c r="H195" s="108">
        <v>39</v>
      </c>
      <c r="I195" s="108">
        <v>27.9</v>
      </c>
      <c r="J195" s="108">
        <v>46</v>
      </c>
      <c r="K195" s="108">
        <v>0</v>
      </c>
      <c r="L195" s="108">
        <v>23</v>
      </c>
      <c r="M195" s="108" t="s">
        <v>1186</v>
      </c>
      <c r="N195" s="108" t="s">
        <v>1187</v>
      </c>
      <c r="X195" s="108" t="s">
        <v>1188</v>
      </c>
      <c r="Y195" s="108" t="s">
        <v>152</v>
      </c>
    </row>
    <row r="196" spans="1:25">
      <c r="A196" s="108">
        <v>189</v>
      </c>
      <c r="B196" s="108" t="str">
        <f t="shared" si="61"/>
        <v>α leo</v>
      </c>
      <c r="C196" s="108">
        <f t="shared" si="62"/>
        <v>0</v>
      </c>
      <c r="F196" s="108" t="s">
        <v>1189</v>
      </c>
      <c r="G196" s="108">
        <v>16</v>
      </c>
      <c r="H196" s="108">
        <v>8</v>
      </c>
      <c r="I196" s="108">
        <v>4.5999999999999996</v>
      </c>
      <c r="J196" s="108">
        <v>17</v>
      </c>
      <c r="K196" s="108">
        <v>2</v>
      </c>
      <c r="L196" s="108">
        <v>49</v>
      </c>
      <c r="M196" s="108" t="s">
        <v>1190</v>
      </c>
      <c r="N196" s="108" t="s">
        <v>1191</v>
      </c>
      <c r="X196" s="108" t="s">
        <v>1192</v>
      </c>
      <c r="Y196" s="108" t="s">
        <v>458</v>
      </c>
    </row>
    <row r="197" spans="1:25">
      <c r="A197" s="108">
        <v>190</v>
      </c>
      <c r="B197" s="108" t="str">
        <f t="shared" si="61"/>
        <v>α leo</v>
      </c>
      <c r="C197" s="108">
        <f t="shared" si="62"/>
        <v>0</v>
      </c>
      <c r="F197" s="108" t="s">
        <v>1193</v>
      </c>
      <c r="G197" s="108">
        <v>17</v>
      </c>
      <c r="H197" s="108">
        <v>30</v>
      </c>
      <c r="I197" s="108">
        <v>44.3</v>
      </c>
      <c r="J197" s="108">
        <v>26</v>
      </c>
      <c r="K197" s="108">
        <v>6</v>
      </c>
      <c r="L197" s="108">
        <v>38</v>
      </c>
      <c r="M197" s="108" t="s">
        <v>1194</v>
      </c>
      <c r="N197" s="108" t="s">
        <v>1195</v>
      </c>
      <c r="X197" s="108" t="s">
        <v>1196</v>
      </c>
      <c r="Y197" s="108" t="s">
        <v>458</v>
      </c>
    </row>
    <row r="198" spans="1:25">
      <c r="A198" s="108">
        <v>191</v>
      </c>
      <c r="B198" s="108" t="str">
        <f t="shared" ref="B198:B261" si="71">IF(B197=F198,A198,B197)</f>
        <v>α leo</v>
      </c>
      <c r="C198" s="108">
        <f t="shared" ref="C198:C261" si="72" xml:space="preserve"> IF(C197=F198,A198,C197)</f>
        <v>0</v>
      </c>
      <c r="F198" s="108" t="s">
        <v>1197</v>
      </c>
      <c r="G198" s="108">
        <v>17</v>
      </c>
      <c r="H198" s="108">
        <v>46</v>
      </c>
      <c r="I198" s="108">
        <v>27.5</v>
      </c>
      <c r="J198" s="108">
        <v>27</v>
      </c>
      <c r="K198" s="108">
        <v>43</v>
      </c>
      <c r="L198" s="108">
        <v>14</v>
      </c>
      <c r="M198" s="108" t="s">
        <v>1198</v>
      </c>
      <c r="N198" s="108" t="s">
        <v>1199</v>
      </c>
      <c r="X198" s="108" t="s">
        <v>1200</v>
      </c>
      <c r="Y198" s="108" t="s">
        <v>458</v>
      </c>
    </row>
    <row r="199" spans="1:25">
      <c r="A199" s="108">
        <v>192</v>
      </c>
      <c r="B199" s="108" t="str">
        <f t="shared" si="71"/>
        <v>α leo</v>
      </c>
      <c r="C199" s="108">
        <f t="shared" si="72"/>
        <v>0</v>
      </c>
      <c r="F199" s="108" t="s">
        <v>1201</v>
      </c>
      <c r="G199" s="108">
        <v>17</v>
      </c>
      <c r="H199" s="108">
        <v>58</v>
      </c>
      <c r="I199" s="108">
        <v>30.15</v>
      </c>
      <c r="J199" s="108">
        <v>30</v>
      </c>
      <c r="K199" s="108">
        <v>11</v>
      </c>
      <c r="L199" s="108">
        <v>21</v>
      </c>
      <c r="M199" s="108" t="s">
        <v>1202</v>
      </c>
      <c r="N199" s="108" t="s">
        <v>1203</v>
      </c>
      <c r="X199" s="108" t="s">
        <v>460</v>
      </c>
      <c r="Y199" s="108" t="s">
        <v>458</v>
      </c>
    </row>
    <row r="200" spans="1:25">
      <c r="A200" s="108">
        <v>193</v>
      </c>
      <c r="B200" s="108" t="str">
        <f t="shared" si="71"/>
        <v>α leo</v>
      </c>
      <c r="C200" s="108">
        <f t="shared" si="72"/>
        <v>0</v>
      </c>
      <c r="F200" s="108" t="s">
        <v>1204</v>
      </c>
      <c r="G200" s="108">
        <v>17</v>
      </c>
      <c r="H200" s="108">
        <v>57</v>
      </c>
      <c r="I200" s="108">
        <v>45.9</v>
      </c>
      <c r="J200" s="108">
        <v>29</v>
      </c>
      <c r="K200" s="108">
        <v>14</v>
      </c>
      <c r="L200" s="108">
        <v>52</v>
      </c>
      <c r="M200" s="108" t="s">
        <v>1205</v>
      </c>
      <c r="N200" s="108" t="s">
        <v>1206</v>
      </c>
      <c r="X200" s="108" t="s">
        <v>1207</v>
      </c>
      <c r="Y200" s="108" t="s">
        <v>467</v>
      </c>
    </row>
    <row r="201" spans="1:25">
      <c r="A201" s="108">
        <v>194</v>
      </c>
      <c r="B201" s="108" t="str">
        <f t="shared" si="71"/>
        <v>α leo</v>
      </c>
      <c r="C201" s="108">
        <f t="shared" si="72"/>
        <v>0</v>
      </c>
      <c r="F201" s="108" t="s">
        <v>1208</v>
      </c>
      <c r="G201" s="108">
        <v>18</v>
      </c>
      <c r="H201" s="108">
        <v>7</v>
      </c>
      <c r="I201" s="108">
        <v>32.6</v>
      </c>
      <c r="J201" s="108">
        <v>28</v>
      </c>
      <c r="K201" s="108">
        <v>45</v>
      </c>
      <c r="L201" s="108">
        <v>45</v>
      </c>
      <c r="M201" s="108" t="s">
        <v>1209</v>
      </c>
      <c r="N201" s="108" t="s">
        <v>1210</v>
      </c>
      <c r="X201" s="108" t="s">
        <v>1211</v>
      </c>
      <c r="Y201" s="108" t="s">
        <v>467</v>
      </c>
    </row>
    <row r="202" spans="1:25">
      <c r="A202" s="108">
        <v>195</v>
      </c>
      <c r="B202" s="108" t="str">
        <f t="shared" si="71"/>
        <v>α leo</v>
      </c>
      <c r="C202" s="108">
        <f t="shared" si="72"/>
        <v>0</v>
      </c>
      <c r="F202" s="108" t="s">
        <v>1212</v>
      </c>
      <c r="G202" s="108">
        <v>17</v>
      </c>
      <c r="H202" s="108">
        <v>15</v>
      </c>
      <c r="I202" s="108">
        <v>2.9</v>
      </c>
      <c r="J202" s="108">
        <v>36</v>
      </c>
      <c r="K202" s="108">
        <v>48</v>
      </c>
      <c r="L202" s="108">
        <v>33</v>
      </c>
      <c r="M202" s="108" t="s">
        <v>1213</v>
      </c>
      <c r="N202" s="108" t="s">
        <v>1214</v>
      </c>
      <c r="X202" s="108" t="s">
        <v>1215</v>
      </c>
      <c r="Y202" s="108" t="s">
        <v>467</v>
      </c>
    </row>
    <row r="203" spans="1:25">
      <c r="A203" s="108">
        <v>196</v>
      </c>
      <c r="B203" s="108" t="str">
        <f t="shared" si="71"/>
        <v>α leo</v>
      </c>
      <c r="C203" s="108">
        <f t="shared" si="72"/>
        <v>0</v>
      </c>
      <c r="F203" s="108" t="s">
        <v>1216</v>
      </c>
      <c r="G203" s="108">
        <v>17</v>
      </c>
      <c r="H203" s="108">
        <v>23</v>
      </c>
      <c r="I203" s="108">
        <v>40.9</v>
      </c>
      <c r="J203" s="108">
        <v>37</v>
      </c>
      <c r="K203" s="108">
        <v>8</v>
      </c>
      <c r="L203" s="108">
        <v>45</v>
      </c>
      <c r="M203" s="108" t="s">
        <v>1217</v>
      </c>
      <c r="N203" s="108" t="s">
        <v>1218</v>
      </c>
      <c r="X203" s="108" t="s">
        <v>470</v>
      </c>
      <c r="Y203" s="108" t="s">
        <v>467</v>
      </c>
    </row>
    <row r="204" spans="1:25">
      <c r="A204" s="108">
        <v>197</v>
      </c>
      <c r="B204" s="108" t="str">
        <f t="shared" si="71"/>
        <v>α leo</v>
      </c>
      <c r="C204" s="108">
        <f t="shared" si="72"/>
        <v>0</v>
      </c>
      <c r="F204" s="108" t="s">
        <v>1219</v>
      </c>
      <c r="G204" s="108">
        <v>16</v>
      </c>
      <c r="H204" s="108">
        <v>34</v>
      </c>
      <c r="I204" s="108">
        <v>6.2</v>
      </c>
      <c r="J204" s="108">
        <v>42</v>
      </c>
      <c r="K204" s="108">
        <v>26</v>
      </c>
      <c r="L204" s="108">
        <v>13</v>
      </c>
      <c r="M204" s="108" t="s">
        <v>1220</v>
      </c>
      <c r="N204" s="108" t="s">
        <v>1221</v>
      </c>
      <c r="X204" s="108" t="s">
        <v>1222</v>
      </c>
      <c r="Y204" s="108" t="s">
        <v>550</v>
      </c>
    </row>
    <row r="205" spans="1:25">
      <c r="A205" s="108">
        <v>198</v>
      </c>
      <c r="B205" s="108" t="str">
        <f t="shared" si="71"/>
        <v>α leo</v>
      </c>
      <c r="C205" s="108">
        <f t="shared" si="72"/>
        <v>0</v>
      </c>
      <c r="F205" s="108" t="s">
        <v>1223</v>
      </c>
      <c r="G205" s="108">
        <v>16</v>
      </c>
      <c r="H205" s="108">
        <v>19</v>
      </c>
      <c r="I205" s="108">
        <v>44.4</v>
      </c>
      <c r="J205" s="108">
        <v>46</v>
      </c>
      <c r="K205" s="108">
        <v>18</v>
      </c>
      <c r="L205" s="108">
        <v>48</v>
      </c>
      <c r="M205" s="108" t="s">
        <v>1224</v>
      </c>
      <c r="N205" s="108" t="s">
        <v>1225</v>
      </c>
      <c r="X205" s="108" t="s">
        <v>1226</v>
      </c>
      <c r="Y205" s="108" t="s">
        <v>550</v>
      </c>
    </row>
    <row r="206" spans="1:25">
      <c r="A206" s="108">
        <v>199</v>
      </c>
      <c r="B206" s="108" t="str">
        <f t="shared" si="71"/>
        <v>α leo</v>
      </c>
      <c r="C206" s="108">
        <f t="shared" si="72"/>
        <v>0</v>
      </c>
      <c r="F206" s="108" t="s">
        <v>1227</v>
      </c>
      <c r="G206" s="108">
        <v>16</v>
      </c>
      <c r="H206" s="108">
        <v>2</v>
      </c>
      <c r="I206" s="108">
        <v>47.9</v>
      </c>
      <c r="J206" s="108">
        <v>46</v>
      </c>
      <c r="K206" s="108">
        <v>2</v>
      </c>
      <c r="L206" s="108">
        <v>12</v>
      </c>
      <c r="M206" s="108" t="s">
        <v>1228</v>
      </c>
      <c r="N206" s="108" t="s">
        <v>1229</v>
      </c>
      <c r="X206" s="108" t="s">
        <v>1230</v>
      </c>
      <c r="Y206" s="108" t="s">
        <v>550</v>
      </c>
    </row>
    <row r="207" spans="1:25">
      <c r="A207" s="108">
        <v>200</v>
      </c>
      <c r="B207" s="108" t="str">
        <f t="shared" si="71"/>
        <v>α leo</v>
      </c>
      <c r="C207" s="108">
        <f t="shared" si="72"/>
        <v>0</v>
      </c>
      <c r="F207" s="108" t="s">
        <v>1231</v>
      </c>
      <c r="G207" s="108">
        <v>16</v>
      </c>
      <c r="H207" s="108">
        <v>8</v>
      </c>
      <c r="I207" s="108">
        <v>46.2</v>
      </c>
      <c r="J207" s="108">
        <v>44</v>
      </c>
      <c r="K207" s="108">
        <v>56</v>
      </c>
      <c r="L207" s="108">
        <v>6</v>
      </c>
      <c r="M207" s="108" t="s">
        <v>1232</v>
      </c>
      <c r="N207" s="108" t="s">
        <v>1233</v>
      </c>
      <c r="X207" s="108" t="s">
        <v>553</v>
      </c>
      <c r="Y207" s="108" t="s">
        <v>550</v>
      </c>
    </row>
    <row r="208" spans="1:25">
      <c r="A208" s="108">
        <v>201</v>
      </c>
      <c r="B208" s="108" t="str">
        <f t="shared" si="71"/>
        <v>α leo</v>
      </c>
      <c r="C208" s="108">
        <f t="shared" si="72"/>
        <v>0</v>
      </c>
      <c r="F208" s="108" t="s">
        <v>1234</v>
      </c>
      <c r="G208" s="108">
        <v>15</v>
      </c>
      <c r="H208" s="108">
        <v>52</v>
      </c>
      <c r="I208" s="108">
        <v>40.5</v>
      </c>
      <c r="J208" s="108">
        <v>42</v>
      </c>
      <c r="K208" s="108">
        <v>27</v>
      </c>
      <c r="L208" s="108">
        <v>6</v>
      </c>
      <c r="M208" s="108" t="s">
        <v>1235</v>
      </c>
      <c r="N208" s="108" t="s">
        <v>1236</v>
      </c>
      <c r="X208" s="108" t="s">
        <v>1237</v>
      </c>
      <c r="Y208" s="108" t="s">
        <v>252</v>
      </c>
    </row>
    <row r="209" spans="1:58">
      <c r="A209" s="108">
        <v>202</v>
      </c>
      <c r="B209" s="108" t="str">
        <f t="shared" si="71"/>
        <v>α leo</v>
      </c>
      <c r="C209" s="108">
        <f t="shared" si="72"/>
        <v>0</v>
      </c>
      <c r="F209" s="108" t="s">
        <v>326</v>
      </c>
      <c r="M209" s="108" t="s">
        <v>1238</v>
      </c>
      <c r="N209" s="108" t="s">
        <v>324</v>
      </c>
      <c r="X209" s="108" t="s">
        <v>1239</v>
      </c>
      <c r="Y209" s="108" t="s">
        <v>252</v>
      </c>
    </row>
    <row r="210" spans="1:58">
      <c r="A210" s="108">
        <v>203</v>
      </c>
      <c r="B210" s="108" t="str">
        <f t="shared" si="71"/>
        <v>α leo</v>
      </c>
      <c r="C210" s="108">
        <f t="shared" si="72"/>
        <v>0</v>
      </c>
      <c r="F210" s="108" t="s">
        <v>1240</v>
      </c>
      <c r="G210" s="108">
        <v>5</v>
      </c>
      <c r="H210" s="108">
        <v>7</v>
      </c>
      <c r="I210" s="108">
        <v>51</v>
      </c>
      <c r="J210" s="108">
        <v>-5</v>
      </c>
      <c r="K210" s="108">
        <v>-5</v>
      </c>
      <c r="L210" s="108">
        <v>-11</v>
      </c>
      <c r="M210" s="108" t="s">
        <v>1241</v>
      </c>
      <c r="N210" s="108" t="s">
        <v>1242</v>
      </c>
      <c r="X210" s="108" t="s">
        <v>1243</v>
      </c>
      <c r="Y210" s="108" t="s">
        <v>252</v>
      </c>
    </row>
    <row r="211" spans="1:58">
      <c r="A211" s="108">
        <v>204</v>
      </c>
      <c r="B211" s="108" t="str">
        <f t="shared" si="71"/>
        <v>α leo</v>
      </c>
      <c r="C211" s="108">
        <f t="shared" si="72"/>
        <v>0</v>
      </c>
      <c r="F211" s="108" t="s">
        <v>1244</v>
      </c>
      <c r="G211" s="108">
        <v>3</v>
      </c>
      <c r="H211" s="108">
        <v>58</v>
      </c>
      <c r="I211" s="108">
        <v>1.8</v>
      </c>
      <c r="J211" s="108">
        <v>-13</v>
      </c>
      <c r="K211" s="108">
        <v>-30</v>
      </c>
      <c r="L211" s="108">
        <v>-31</v>
      </c>
      <c r="M211" s="108" t="s">
        <v>1245</v>
      </c>
      <c r="N211" s="108" t="s">
        <v>1246</v>
      </c>
      <c r="X211" s="108" t="s">
        <v>255</v>
      </c>
      <c r="Y211" s="108" t="s">
        <v>252</v>
      </c>
    </row>
    <row r="212" spans="1:58">
      <c r="A212" s="108">
        <v>205</v>
      </c>
      <c r="B212" s="108" t="str">
        <f t="shared" si="71"/>
        <v>α leo</v>
      </c>
      <c r="C212" s="108">
        <f t="shared" si="72"/>
        <v>0</v>
      </c>
      <c r="F212" s="108" t="s">
        <v>1247</v>
      </c>
      <c r="G212" s="108">
        <v>3</v>
      </c>
      <c r="H212" s="108">
        <v>43</v>
      </c>
      <c r="I212" s="108">
        <v>14.9</v>
      </c>
      <c r="J212" s="108">
        <v>-9</v>
      </c>
      <c r="K212" s="108">
        <v>-45</v>
      </c>
      <c r="L212" s="108">
        <v>-48</v>
      </c>
      <c r="M212" s="108" t="s">
        <v>1248</v>
      </c>
      <c r="N212" s="108" t="s">
        <v>1249</v>
      </c>
      <c r="X212" s="108" t="s">
        <v>1250</v>
      </c>
      <c r="Y212" s="108" t="s">
        <v>486</v>
      </c>
    </row>
    <row r="213" spans="1:58">
      <c r="A213" s="108">
        <v>206</v>
      </c>
      <c r="B213" s="108" t="str">
        <f t="shared" si="71"/>
        <v>α leo</v>
      </c>
      <c r="C213" s="108">
        <f t="shared" si="72"/>
        <v>0</v>
      </c>
      <c r="F213" s="108" t="s">
        <v>1251</v>
      </c>
      <c r="G213" s="108">
        <v>3</v>
      </c>
      <c r="H213" s="108">
        <v>32</v>
      </c>
      <c r="I213" s="108">
        <v>55.8</v>
      </c>
      <c r="J213" s="108">
        <v>-9</v>
      </c>
      <c r="K213" s="108">
        <v>-27</v>
      </c>
      <c r="L213" s="108">
        <v>-30</v>
      </c>
      <c r="M213" s="108" t="s">
        <v>1252</v>
      </c>
      <c r="N213" s="108" t="s">
        <v>1253</v>
      </c>
      <c r="X213" s="108" t="s">
        <v>489</v>
      </c>
      <c r="Y213" s="108" t="s">
        <v>486</v>
      </c>
    </row>
    <row r="214" spans="1:58">
      <c r="A214" s="108">
        <v>207</v>
      </c>
      <c r="B214" s="108" t="str">
        <f t="shared" si="71"/>
        <v>α leo</v>
      </c>
      <c r="C214" s="108">
        <f t="shared" si="72"/>
        <v>0</v>
      </c>
      <c r="F214" s="108" t="s">
        <v>1254</v>
      </c>
      <c r="G214" s="108">
        <v>3</v>
      </c>
      <c r="H214" s="108">
        <v>15</v>
      </c>
      <c r="I214" s="108">
        <v>50</v>
      </c>
      <c r="J214" s="108">
        <v>-8</v>
      </c>
      <c r="K214" s="108">
        <v>-49</v>
      </c>
      <c r="L214" s="108">
        <v>-11</v>
      </c>
      <c r="M214" s="108" t="s">
        <v>1255</v>
      </c>
      <c r="N214" s="108" t="s">
        <v>1256</v>
      </c>
      <c r="X214" s="108" t="s">
        <v>1257</v>
      </c>
      <c r="Y214" s="108" t="s">
        <v>621</v>
      </c>
    </row>
    <row r="215" spans="1:58">
      <c r="A215" s="108">
        <v>208</v>
      </c>
      <c r="B215" s="108" t="str">
        <f t="shared" si="71"/>
        <v>α leo</v>
      </c>
      <c r="C215" s="108">
        <f t="shared" si="72"/>
        <v>0</v>
      </c>
      <c r="F215" s="108" t="s">
        <v>1258</v>
      </c>
      <c r="G215" s="108">
        <v>2</v>
      </c>
      <c r="H215" s="108">
        <v>56</v>
      </c>
      <c r="I215" s="108">
        <v>25.6</v>
      </c>
      <c r="J215" s="108">
        <v>-8</v>
      </c>
      <c r="K215" s="108">
        <v>-53</v>
      </c>
      <c r="L215" s="108">
        <v>-53</v>
      </c>
      <c r="M215" s="108" t="s">
        <v>1259</v>
      </c>
      <c r="N215" s="108" t="s">
        <v>1260</v>
      </c>
      <c r="X215" s="108" t="s">
        <v>624</v>
      </c>
      <c r="Y215" s="108" t="s">
        <v>621</v>
      </c>
    </row>
    <row r="216" spans="1:58">
      <c r="A216" s="108">
        <v>209</v>
      </c>
      <c r="B216" s="108" t="str">
        <f t="shared" si="71"/>
        <v>α leo</v>
      </c>
      <c r="C216" s="108">
        <f t="shared" si="72"/>
        <v>0</v>
      </c>
      <c r="F216" s="108" t="s">
        <v>1261</v>
      </c>
      <c r="G216" s="108">
        <v>4</v>
      </c>
      <c r="H216" s="108">
        <v>45</v>
      </c>
      <c r="I216" s="108">
        <v>30.1</v>
      </c>
      <c r="J216" s="108">
        <v>-3</v>
      </c>
      <c r="K216" s="108">
        <v>-15</v>
      </c>
      <c r="L216" s="108">
        <v>-17</v>
      </c>
      <c r="M216" s="108" t="s">
        <v>1262</v>
      </c>
      <c r="N216" s="108" t="s">
        <v>1263</v>
      </c>
      <c r="X216" s="108" t="s">
        <v>1264</v>
      </c>
      <c r="Y216" s="108" t="s">
        <v>685</v>
      </c>
    </row>
    <row r="217" spans="1:58">
      <c r="A217" s="108">
        <v>210</v>
      </c>
      <c r="B217" s="108" t="str">
        <f t="shared" si="71"/>
        <v>α leo</v>
      </c>
      <c r="C217" s="108">
        <f t="shared" si="72"/>
        <v>0</v>
      </c>
      <c r="F217" s="108" t="s">
        <v>1265</v>
      </c>
      <c r="G217" s="108">
        <v>4</v>
      </c>
      <c r="H217" s="108">
        <v>36</v>
      </c>
      <c r="I217" s="108">
        <v>19.100000000000001</v>
      </c>
      <c r="J217" s="108">
        <v>-3</v>
      </c>
      <c r="K217" s="108">
        <v>-21</v>
      </c>
      <c r="L217" s="108">
        <v>-9</v>
      </c>
      <c r="M217" s="108" t="s">
        <v>1266</v>
      </c>
      <c r="N217" s="108" t="s">
        <v>1267</v>
      </c>
      <c r="X217" s="108" t="s">
        <v>688</v>
      </c>
      <c r="Y217" s="108" t="s">
        <v>685</v>
      </c>
    </row>
    <row r="218" spans="1:58">
      <c r="A218" s="108">
        <v>211</v>
      </c>
      <c r="B218" s="108" t="str">
        <f t="shared" si="71"/>
        <v>α leo</v>
      </c>
      <c r="C218" s="108">
        <f t="shared" si="72"/>
        <v>0</v>
      </c>
      <c r="F218" s="108" t="s">
        <v>1268</v>
      </c>
      <c r="G218" s="108">
        <v>4</v>
      </c>
      <c r="H218" s="108">
        <v>11</v>
      </c>
      <c r="I218" s="108">
        <v>51.9</v>
      </c>
      <c r="J218" s="108">
        <v>-6</v>
      </c>
      <c r="K218" s="108">
        <v>-50</v>
      </c>
      <c r="L218" s="108">
        <v>-15</v>
      </c>
      <c r="M218" s="108" t="s">
        <v>1269</v>
      </c>
      <c r="N218" s="108" t="s">
        <v>1270</v>
      </c>
      <c r="X218" s="108" t="s">
        <v>1271</v>
      </c>
      <c r="Y218" s="108" t="s">
        <v>223</v>
      </c>
    </row>
    <row r="219" spans="1:58">
      <c r="A219" s="108">
        <v>212</v>
      </c>
      <c r="B219" s="108" t="str">
        <f t="shared" si="71"/>
        <v>α leo</v>
      </c>
      <c r="C219" s="108">
        <f t="shared" si="72"/>
        <v>0</v>
      </c>
      <c r="F219" s="108" t="s">
        <v>1272</v>
      </c>
      <c r="G219" s="108">
        <v>3</v>
      </c>
      <c r="H219" s="108">
        <v>46</v>
      </c>
      <c r="I219" s="108">
        <v>8.5</v>
      </c>
      <c r="J219" s="108">
        <v>-12</v>
      </c>
      <c r="K219" s="108">
        <v>-6</v>
      </c>
      <c r="L219" s="108">
        <v>-6</v>
      </c>
      <c r="M219" s="108" t="s">
        <v>1273</v>
      </c>
      <c r="N219" s="108" t="s">
        <v>1274</v>
      </c>
      <c r="X219" s="108" t="s">
        <v>1275</v>
      </c>
      <c r="Y219" s="108" t="s">
        <v>223</v>
      </c>
      <c r="AX219" s="108"/>
      <c r="AY219" s="108"/>
      <c r="AZ219" s="108"/>
      <c r="BA219" s="108"/>
      <c r="BB219" s="108"/>
      <c r="BC219" s="108"/>
    </row>
    <row r="220" spans="1:58">
      <c r="A220" s="108">
        <v>213</v>
      </c>
      <c r="B220" s="108" t="str">
        <f t="shared" si="71"/>
        <v>α leo</v>
      </c>
      <c r="C220" s="108">
        <f t="shared" si="72"/>
        <v>0</v>
      </c>
      <c r="F220" s="108" t="s">
        <v>1276</v>
      </c>
      <c r="G220" s="108">
        <v>3</v>
      </c>
      <c r="H220" s="108">
        <v>1</v>
      </c>
      <c r="I220" s="108">
        <v>10</v>
      </c>
      <c r="J220" s="108">
        <v>-7</v>
      </c>
      <c r="K220" s="108">
        <v>-39</v>
      </c>
      <c r="L220" s="108">
        <v>-47</v>
      </c>
      <c r="M220" s="108" t="s">
        <v>1277</v>
      </c>
      <c r="N220" s="108" t="s">
        <v>1278</v>
      </c>
      <c r="X220" s="108" t="s">
        <v>1279</v>
      </c>
      <c r="Y220" s="108" t="s">
        <v>223</v>
      </c>
      <c r="AX220" s="108"/>
      <c r="AY220" s="108"/>
      <c r="AZ220" s="108"/>
      <c r="BA220" s="108"/>
      <c r="BB220" s="108"/>
      <c r="BC220" s="108"/>
      <c r="BE220" s="108">
        <v>206</v>
      </c>
      <c r="BF220" s="108" t="s">
        <v>3892</v>
      </c>
    </row>
    <row r="221" spans="1:58">
      <c r="A221" s="108">
        <v>214</v>
      </c>
      <c r="B221" s="108" t="str">
        <f t="shared" si="71"/>
        <v>α leo</v>
      </c>
      <c r="C221" s="108">
        <f t="shared" si="72"/>
        <v>0</v>
      </c>
      <c r="F221" s="108" t="s">
        <v>1280</v>
      </c>
      <c r="G221" s="108">
        <v>3</v>
      </c>
      <c r="H221" s="108">
        <v>2</v>
      </c>
      <c r="I221" s="108">
        <v>42.3</v>
      </c>
      <c r="J221" s="108">
        <v>-7</v>
      </c>
      <c r="K221" s="108">
        <v>-41</v>
      </c>
      <c r="L221" s="108">
        <v>-8</v>
      </c>
      <c r="M221" s="108" t="s">
        <v>1281</v>
      </c>
      <c r="N221" s="108" t="s">
        <v>1282</v>
      </c>
      <c r="X221" s="108" t="s">
        <v>1283</v>
      </c>
      <c r="Y221" s="108" t="s">
        <v>223</v>
      </c>
      <c r="AX221" s="108"/>
      <c r="AY221" s="108"/>
      <c r="AZ221" s="108"/>
      <c r="BA221" s="108"/>
      <c r="BB221" s="108">
        <f ca="1">Φύλλο2!AD119*100</f>
        <v>200</v>
      </c>
      <c r="BC221" s="108">
        <f ca="1">Φύλλο2!AE119</f>
        <v>9</v>
      </c>
      <c r="BD221" s="108">
        <f ca="1">BB221+BC221</f>
        <v>209</v>
      </c>
      <c r="BE221" s="108">
        <v>309</v>
      </c>
      <c r="BF221" s="108" t="s">
        <v>3893</v>
      </c>
    </row>
    <row r="222" spans="1:58">
      <c r="A222" s="108">
        <v>215</v>
      </c>
      <c r="B222" s="108" t="str">
        <f t="shared" si="71"/>
        <v>α leo</v>
      </c>
      <c r="C222" s="108">
        <f t="shared" si="72"/>
        <v>0</v>
      </c>
      <c r="F222" s="108" t="s">
        <v>1284</v>
      </c>
      <c r="G222" s="108">
        <v>3</v>
      </c>
      <c r="H222" s="108">
        <v>4</v>
      </c>
      <c r="I222" s="108">
        <v>16.5</v>
      </c>
      <c r="J222" s="108">
        <v>-7</v>
      </c>
      <c r="K222" s="108">
        <v>-36</v>
      </c>
      <c r="L222" s="108">
        <v>-3</v>
      </c>
      <c r="M222" s="108" t="s">
        <v>1285</v>
      </c>
      <c r="N222" s="108" t="s">
        <v>1286</v>
      </c>
      <c r="X222" s="108" t="s">
        <v>1287</v>
      </c>
      <c r="Y222" s="108" t="s">
        <v>223</v>
      </c>
      <c r="AX222" s="108"/>
      <c r="AY222" s="108"/>
      <c r="AZ222" s="108"/>
      <c r="BA222" s="108"/>
      <c r="BB222" s="108"/>
      <c r="BC222" s="108"/>
      <c r="BE222" s="108">
        <f ca="1">IF(BD221&lt;BE220,"gia",BD221)</f>
        <v>209</v>
      </c>
    </row>
    <row r="223" spans="1:58">
      <c r="A223" s="108">
        <v>216</v>
      </c>
      <c r="B223" s="108" t="str">
        <f t="shared" si="71"/>
        <v>α leo</v>
      </c>
      <c r="C223" s="108">
        <f t="shared" si="72"/>
        <v>0</v>
      </c>
      <c r="F223" s="108" t="s">
        <v>1288</v>
      </c>
      <c r="G223" s="108">
        <v>2</v>
      </c>
      <c r="H223" s="108">
        <v>45</v>
      </c>
      <c r="I223" s="108">
        <v>6.2</v>
      </c>
      <c r="J223" s="108">
        <v>-18</v>
      </c>
      <c r="K223" s="108">
        <v>-34</v>
      </c>
      <c r="L223" s="108">
        <v>-21</v>
      </c>
      <c r="M223" s="108" t="s">
        <v>1289</v>
      </c>
      <c r="N223" s="108" t="s">
        <v>1290</v>
      </c>
      <c r="X223" s="108" t="s">
        <v>1291</v>
      </c>
      <c r="Y223" s="108" t="s">
        <v>518</v>
      </c>
      <c r="AX223" s="108"/>
      <c r="AY223" s="108"/>
      <c r="AZ223" s="108"/>
      <c r="BA223" s="108"/>
      <c r="BB223" s="108"/>
      <c r="BC223" s="108"/>
      <c r="BE223" s="108">
        <f ca="1">IF(BE222&gt;BE221,"gia",1)</f>
        <v>1</v>
      </c>
    </row>
    <row r="224" spans="1:58">
      <c r="A224" s="108">
        <v>217</v>
      </c>
      <c r="B224" s="108" t="str">
        <f t="shared" si="71"/>
        <v>α leo</v>
      </c>
      <c r="C224" s="108">
        <f t="shared" si="72"/>
        <v>0</v>
      </c>
      <c r="F224" s="108" t="s">
        <v>1292</v>
      </c>
      <c r="G224" s="108">
        <v>2</v>
      </c>
      <c r="H224" s="108">
        <v>51</v>
      </c>
      <c r="I224" s="108">
        <v>2.2999999999999998</v>
      </c>
      <c r="J224" s="108">
        <v>-21</v>
      </c>
      <c r="K224" s="108">
        <v>0</v>
      </c>
      <c r="L224" s="108">
        <v>-14</v>
      </c>
      <c r="M224" s="108" t="s">
        <v>1293</v>
      </c>
      <c r="N224" s="108" t="s">
        <v>1294</v>
      </c>
      <c r="X224" s="108" t="s">
        <v>1295</v>
      </c>
      <c r="Y224" s="108" t="s">
        <v>518</v>
      </c>
      <c r="AX224" s="108"/>
      <c r="AY224" s="108"/>
      <c r="AZ224" s="108"/>
      <c r="BA224" s="108"/>
      <c r="BB224" s="108"/>
      <c r="BC224" s="108"/>
    </row>
    <row r="225" spans="1:58">
      <c r="A225" s="108">
        <v>218</v>
      </c>
      <c r="B225" s="108" t="str">
        <f t="shared" si="71"/>
        <v>α leo</v>
      </c>
      <c r="C225" s="108">
        <f t="shared" si="72"/>
        <v>0</v>
      </c>
      <c r="F225" s="108" t="s">
        <v>1296</v>
      </c>
      <c r="G225" s="108">
        <v>3</v>
      </c>
      <c r="H225" s="108">
        <v>2</v>
      </c>
      <c r="I225" s="108">
        <v>23.4</v>
      </c>
      <c r="J225" s="108">
        <v>-23</v>
      </c>
      <c r="K225" s="108">
        <v>-37</v>
      </c>
      <c r="L225" s="108">
        <v>-28</v>
      </c>
      <c r="M225" s="108" t="s">
        <v>1297</v>
      </c>
      <c r="N225" s="108" t="s">
        <v>1298</v>
      </c>
      <c r="X225" s="108" t="s">
        <v>1299</v>
      </c>
      <c r="Y225" s="108" t="s">
        <v>518</v>
      </c>
      <c r="AX225" s="108"/>
      <c r="AY225" s="108"/>
      <c r="AZ225" s="108"/>
      <c r="BA225" s="108"/>
      <c r="BB225" s="108"/>
      <c r="BC225" s="108"/>
    </row>
    <row r="226" spans="1:58">
      <c r="A226" s="108">
        <v>219</v>
      </c>
      <c r="B226" s="108" t="str">
        <f t="shared" si="71"/>
        <v>α leo</v>
      </c>
      <c r="C226" s="108">
        <f t="shared" si="72"/>
        <v>0</v>
      </c>
      <c r="F226" s="108" t="s">
        <v>1300</v>
      </c>
      <c r="G226" s="108">
        <v>3</v>
      </c>
      <c r="H226" s="108">
        <v>19</v>
      </c>
      <c r="I226" s="108">
        <v>31</v>
      </c>
      <c r="J226" s="108">
        <v>-21</v>
      </c>
      <c r="K226" s="108">
        <v>-45</v>
      </c>
      <c r="L226" s="108">
        <v>-28</v>
      </c>
      <c r="M226" s="108" t="s">
        <v>1301</v>
      </c>
      <c r="N226" s="108" t="s">
        <v>1302</v>
      </c>
      <c r="X226" s="108" t="s">
        <v>521</v>
      </c>
      <c r="Y226" s="108" t="s">
        <v>518</v>
      </c>
      <c r="AX226" s="108"/>
      <c r="AY226" s="108"/>
      <c r="AZ226" s="108"/>
      <c r="BA226" s="108"/>
      <c r="BB226" s="108"/>
      <c r="BC226" s="108"/>
    </row>
    <row r="227" spans="1:58">
      <c r="A227" s="108">
        <v>220</v>
      </c>
      <c r="B227" s="108" t="str">
        <f t="shared" si="71"/>
        <v>α leo</v>
      </c>
      <c r="C227" s="108">
        <f t="shared" si="72"/>
        <v>0</v>
      </c>
      <c r="F227" s="108" t="s">
        <v>1303</v>
      </c>
      <c r="G227" s="108">
        <v>3</v>
      </c>
      <c r="H227" s="108">
        <v>33</v>
      </c>
      <c r="I227" s="108">
        <v>47.3</v>
      </c>
      <c r="J227" s="108">
        <v>-21</v>
      </c>
      <c r="K227" s="108">
        <v>-37</v>
      </c>
      <c r="L227" s="108">
        <v>-58</v>
      </c>
      <c r="M227" s="108" t="s">
        <v>1304</v>
      </c>
      <c r="N227" s="108" t="s">
        <v>1305</v>
      </c>
      <c r="X227" s="108" t="s">
        <v>1306</v>
      </c>
      <c r="Y227" s="108" t="s">
        <v>507</v>
      </c>
      <c r="AX227" s="108"/>
      <c r="AY227" s="108"/>
      <c r="AZ227" s="108"/>
      <c r="BA227" s="108"/>
      <c r="BB227" s="108"/>
      <c r="BC227" s="108">
        <f ca="1">BA230*BE223</f>
        <v>1</v>
      </c>
    </row>
    <row r="228" spans="1:58">
      <c r="A228" s="108">
        <v>221</v>
      </c>
      <c r="B228" s="108" t="str">
        <f t="shared" si="71"/>
        <v>α leo</v>
      </c>
      <c r="C228" s="108">
        <f t="shared" si="72"/>
        <v>0</v>
      </c>
      <c r="F228" s="108" t="s">
        <v>1307</v>
      </c>
      <c r="G228" s="108">
        <v>4</v>
      </c>
      <c r="H228" s="108">
        <v>52</v>
      </c>
      <c r="I228" s="108">
        <v>53.7</v>
      </c>
      <c r="J228" s="108">
        <v>-5</v>
      </c>
      <c r="K228" s="108">
        <v>-27</v>
      </c>
      <c r="L228" s="108">
        <v>-10</v>
      </c>
      <c r="M228" s="108" t="s">
        <v>1308</v>
      </c>
      <c r="N228" s="108" t="s">
        <v>1309</v>
      </c>
      <c r="X228" s="108" t="s">
        <v>510</v>
      </c>
      <c r="Y228" s="108" t="s">
        <v>507</v>
      </c>
      <c r="AX228" s="108"/>
      <c r="AY228" s="108">
        <f>Φύλλο1!AS22</f>
        <v>13117022.032539999</v>
      </c>
      <c r="AZ228" s="108"/>
      <c r="BA228" s="108"/>
      <c r="BB228" s="108"/>
      <c r="BC228" s="108"/>
    </row>
    <row r="229" spans="1:58">
      <c r="A229" s="108">
        <v>222</v>
      </c>
      <c r="B229" s="108" t="str">
        <f t="shared" si="71"/>
        <v>α leo</v>
      </c>
      <c r="C229" s="108">
        <f t="shared" si="72"/>
        <v>0</v>
      </c>
      <c r="F229" s="108" t="s">
        <v>316</v>
      </c>
      <c r="M229" s="108" t="s">
        <v>1310</v>
      </c>
      <c r="N229" s="108" t="s">
        <v>314</v>
      </c>
      <c r="X229" s="108" t="s">
        <v>1311</v>
      </c>
      <c r="Y229" s="108" t="s">
        <v>561</v>
      </c>
      <c r="AX229" s="108"/>
      <c r="AY229" s="108">
        <f>SUM(AY228+Φύλλο2!S102)</f>
        <v>14332358.032539999</v>
      </c>
      <c r="AZ229" s="108"/>
      <c r="BA229" s="108">
        <v>14332358.032539999</v>
      </c>
      <c r="BB229" s="108"/>
      <c r="BC229" s="108"/>
    </row>
    <row r="230" spans="1:58">
      <c r="A230" s="108">
        <v>223</v>
      </c>
      <c r="B230" s="108" t="str">
        <f t="shared" si="71"/>
        <v>α leo</v>
      </c>
      <c r="C230" s="108">
        <f t="shared" si="72"/>
        <v>0</v>
      </c>
      <c r="F230" s="108" t="s">
        <v>1312</v>
      </c>
      <c r="G230" s="108">
        <v>21</v>
      </c>
      <c r="H230" s="108">
        <v>15</v>
      </c>
      <c r="I230" s="108">
        <v>49.4</v>
      </c>
      <c r="J230" s="108">
        <v>5</v>
      </c>
      <c r="K230" s="108">
        <v>14</v>
      </c>
      <c r="L230" s="108">
        <v>52</v>
      </c>
      <c r="M230" s="108" t="s">
        <v>1313</v>
      </c>
      <c r="N230" s="108" t="s">
        <v>1314</v>
      </c>
      <c r="X230" s="108" t="s">
        <v>1315</v>
      </c>
      <c r="Y230" s="108" t="s">
        <v>561</v>
      </c>
      <c r="AX230" s="108"/>
      <c r="AY230" s="108"/>
      <c r="AZ230" s="108"/>
      <c r="BA230" s="108">
        <f>IF(BA229=AY229,1,"5ε36")</f>
        <v>1</v>
      </c>
      <c r="BB230" s="108"/>
      <c r="BC230" s="108"/>
    </row>
    <row r="231" spans="1:58">
      <c r="A231" s="108">
        <v>224</v>
      </c>
      <c r="B231" s="108" t="str">
        <f t="shared" si="71"/>
        <v>α leo</v>
      </c>
      <c r="C231" s="108">
        <f t="shared" si="72"/>
        <v>0</v>
      </c>
      <c r="F231" s="108" t="s">
        <v>1316</v>
      </c>
      <c r="G231" s="108">
        <v>21</v>
      </c>
      <c r="H231" s="108">
        <v>10</v>
      </c>
      <c r="I231" s="108">
        <v>20.5</v>
      </c>
      <c r="J231" s="108">
        <v>10</v>
      </c>
      <c r="K231" s="108">
        <v>7</v>
      </c>
      <c r="L231" s="108">
        <v>54</v>
      </c>
      <c r="M231" s="108" t="s">
        <v>1317</v>
      </c>
      <c r="N231" s="108" t="s">
        <v>1318</v>
      </c>
      <c r="X231" s="108" t="s">
        <v>1319</v>
      </c>
      <c r="Y231" s="108" t="s">
        <v>561</v>
      </c>
      <c r="AX231" s="108"/>
      <c r="AY231" s="108"/>
      <c r="AZ231" s="108"/>
      <c r="BA231" s="108"/>
      <c r="BB231" s="108"/>
      <c r="BC231" s="108"/>
    </row>
    <row r="232" spans="1:58">
      <c r="A232" s="108">
        <v>225</v>
      </c>
      <c r="B232" s="108" t="str">
        <f t="shared" si="71"/>
        <v>α leo</v>
      </c>
      <c r="C232" s="108">
        <f t="shared" si="72"/>
        <v>0</v>
      </c>
      <c r="F232" s="108" t="s">
        <v>1320</v>
      </c>
      <c r="G232" s="108">
        <v>21</v>
      </c>
      <c r="H232" s="108">
        <v>14</v>
      </c>
      <c r="I232" s="108">
        <v>28.8</v>
      </c>
      <c r="J232" s="108">
        <v>10</v>
      </c>
      <c r="K232" s="108">
        <v>0</v>
      </c>
      <c r="L232" s="108">
        <v>25</v>
      </c>
      <c r="M232" s="108" t="s">
        <v>1321</v>
      </c>
      <c r="N232" s="108" t="s">
        <v>1322</v>
      </c>
      <c r="X232" s="108" t="s">
        <v>563</v>
      </c>
      <c r="Y232" s="108" t="s">
        <v>561</v>
      </c>
    </row>
    <row r="233" spans="1:58">
      <c r="A233" s="108">
        <v>226</v>
      </c>
      <c r="B233" s="108" t="str">
        <f t="shared" si="71"/>
        <v>α leo</v>
      </c>
      <c r="C233" s="108">
        <f t="shared" si="72"/>
        <v>0</v>
      </c>
      <c r="F233" s="108" t="s">
        <v>1323</v>
      </c>
      <c r="G233" s="108">
        <v>20</v>
      </c>
      <c r="H233" s="108">
        <v>59</v>
      </c>
      <c r="I233" s="108">
        <v>4.5</v>
      </c>
      <c r="J233" s="108">
        <v>4</v>
      </c>
      <c r="K233" s="108">
        <v>17</v>
      </c>
      <c r="L233" s="108">
        <v>37</v>
      </c>
      <c r="M233" s="108" t="s">
        <v>1324</v>
      </c>
      <c r="N233" s="108" t="s">
        <v>1325</v>
      </c>
      <c r="X233" s="108" t="s">
        <v>1326</v>
      </c>
      <c r="Y233" s="108" t="s">
        <v>570</v>
      </c>
    </row>
    <row r="234" spans="1:58">
      <c r="A234" s="108">
        <v>227</v>
      </c>
      <c r="B234" s="108" t="str">
        <f t="shared" si="71"/>
        <v>α leo</v>
      </c>
      <c r="C234" s="108">
        <f t="shared" si="72"/>
        <v>0</v>
      </c>
      <c r="F234" s="108" t="s">
        <v>678</v>
      </c>
      <c r="M234" s="108" t="s">
        <v>1327</v>
      </c>
      <c r="N234" s="108" t="s">
        <v>677</v>
      </c>
      <c r="X234" s="108" t="s">
        <v>1328</v>
      </c>
      <c r="Y234" s="108" t="s">
        <v>570</v>
      </c>
    </row>
    <row r="235" spans="1:58">
      <c r="A235" s="108">
        <v>228</v>
      </c>
      <c r="B235" s="108" t="str">
        <f t="shared" si="71"/>
        <v>α leo</v>
      </c>
      <c r="C235" s="108">
        <f t="shared" si="72"/>
        <v>0</v>
      </c>
      <c r="F235" s="108" t="s">
        <v>540</v>
      </c>
      <c r="M235" s="108" t="s">
        <v>1329</v>
      </c>
      <c r="N235" s="108" t="s">
        <v>538</v>
      </c>
      <c r="X235" s="108" t="s">
        <v>1330</v>
      </c>
      <c r="Y235" s="108" t="s">
        <v>570</v>
      </c>
    </row>
    <row r="236" spans="1:58">
      <c r="A236" s="108">
        <v>229</v>
      </c>
      <c r="B236" s="108" t="str">
        <f t="shared" si="71"/>
        <v>α leo</v>
      </c>
      <c r="C236" s="108">
        <f t="shared" si="72"/>
        <v>0</v>
      </c>
      <c r="F236" s="108" t="s">
        <v>1331</v>
      </c>
      <c r="G236" s="108">
        <v>2</v>
      </c>
      <c r="H236" s="108">
        <v>2</v>
      </c>
      <c r="I236" s="108">
        <v>2.8</v>
      </c>
      <c r="J236" s="108">
        <v>2</v>
      </c>
      <c r="K236" s="108">
        <v>45</v>
      </c>
      <c r="L236" s="108">
        <v>50</v>
      </c>
      <c r="M236" s="108" t="s">
        <v>1332</v>
      </c>
      <c r="N236" s="108" t="s">
        <v>1333</v>
      </c>
      <c r="X236" s="108" t="s">
        <v>572</v>
      </c>
      <c r="Y236" s="108" t="s">
        <v>570</v>
      </c>
    </row>
    <row r="237" spans="1:58">
      <c r="A237" s="108">
        <v>230</v>
      </c>
      <c r="B237" s="108" t="str">
        <f t="shared" si="71"/>
        <v>α leo</v>
      </c>
      <c r="C237" s="108">
        <f t="shared" si="72"/>
        <v>0</v>
      </c>
      <c r="F237" s="108" t="s">
        <v>1334</v>
      </c>
      <c r="G237" s="108">
        <v>23</v>
      </c>
      <c r="H237" s="108">
        <v>3</v>
      </c>
      <c r="I237" s="108">
        <v>52.6</v>
      </c>
      <c r="J237" s="108">
        <v>3</v>
      </c>
      <c r="K237" s="108">
        <v>49</v>
      </c>
      <c r="L237" s="108">
        <v>12</v>
      </c>
      <c r="M237" s="108" t="s">
        <v>1335</v>
      </c>
      <c r="N237" s="108" t="s">
        <v>1336</v>
      </c>
      <c r="X237" s="108" t="s">
        <v>1337</v>
      </c>
      <c r="Y237" s="108" t="s">
        <v>378</v>
      </c>
      <c r="BF237" s="108" t="s">
        <v>3889</v>
      </c>
    </row>
    <row r="238" spans="1:58">
      <c r="A238" s="108">
        <v>231</v>
      </c>
      <c r="B238" s="108" t="str">
        <f t="shared" si="71"/>
        <v>α leo</v>
      </c>
      <c r="C238" s="108">
        <f t="shared" si="72"/>
        <v>0</v>
      </c>
      <c r="F238" s="108" t="s">
        <v>1338</v>
      </c>
      <c r="G238" s="108">
        <v>23</v>
      </c>
      <c r="H238" s="108">
        <v>17</v>
      </c>
      <c r="I238" s="108">
        <v>9.9</v>
      </c>
      <c r="J238" s="108">
        <v>3</v>
      </c>
      <c r="K238" s="108">
        <v>16</v>
      </c>
      <c r="L238" s="108">
        <v>56</v>
      </c>
      <c r="M238" s="108" t="s">
        <v>1339</v>
      </c>
      <c r="N238" s="108" t="s">
        <v>1340</v>
      </c>
      <c r="X238" s="108" t="s">
        <v>381</v>
      </c>
      <c r="Y238" s="108" t="s">
        <v>378</v>
      </c>
      <c r="BF238" s="108" t="s">
        <v>3890</v>
      </c>
    </row>
    <row r="239" spans="1:58">
      <c r="A239" s="108">
        <v>232</v>
      </c>
      <c r="B239" s="108" t="str">
        <f t="shared" si="71"/>
        <v>α leo</v>
      </c>
      <c r="C239" s="108">
        <f t="shared" si="72"/>
        <v>0</v>
      </c>
      <c r="F239" s="108" t="s">
        <v>1341</v>
      </c>
      <c r="G239" s="108">
        <v>0</v>
      </c>
      <c r="H239" s="108">
        <v>48</v>
      </c>
      <c r="I239" s="108">
        <v>40.9</v>
      </c>
      <c r="J239" s="108">
        <v>7</v>
      </c>
      <c r="K239" s="108">
        <v>35</v>
      </c>
      <c r="L239" s="108">
        <v>6</v>
      </c>
      <c r="M239" s="108" t="s">
        <v>1342</v>
      </c>
      <c r="N239" s="108" t="s">
        <v>1343</v>
      </c>
      <c r="X239" s="108" t="s">
        <v>1344</v>
      </c>
      <c r="Y239" s="108" t="s">
        <v>593</v>
      </c>
      <c r="BF239" s="108" t="s">
        <v>3891</v>
      </c>
    </row>
    <row r="240" spans="1:58">
      <c r="A240" s="108">
        <v>233</v>
      </c>
      <c r="B240" s="108" t="str">
        <f t="shared" si="71"/>
        <v>α leo</v>
      </c>
      <c r="C240" s="108">
        <f t="shared" si="72"/>
        <v>0</v>
      </c>
      <c r="F240" s="108" t="s">
        <v>1345</v>
      </c>
      <c r="G240" s="108">
        <v>1</v>
      </c>
      <c r="H240" s="108">
        <v>2</v>
      </c>
      <c r="I240" s="108">
        <v>56.6</v>
      </c>
      <c r="J240" s="108">
        <v>7</v>
      </c>
      <c r="K240" s="108">
        <v>53</v>
      </c>
      <c r="L240" s="108">
        <v>24</v>
      </c>
      <c r="M240" s="108" t="s">
        <v>1346</v>
      </c>
      <c r="N240" s="108" t="s">
        <v>1347</v>
      </c>
      <c r="X240" s="108" t="s">
        <v>596</v>
      </c>
      <c r="Y240" s="108" t="s">
        <v>593</v>
      </c>
    </row>
    <row r="241" spans="1:58">
      <c r="A241" s="108">
        <v>234</v>
      </c>
      <c r="B241" s="108" t="str">
        <f t="shared" si="71"/>
        <v>α leo</v>
      </c>
      <c r="C241" s="108">
        <f t="shared" si="72"/>
        <v>0</v>
      </c>
      <c r="F241" s="108" t="s">
        <v>1348</v>
      </c>
      <c r="G241" s="108">
        <v>1</v>
      </c>
      <c r="H241" s="108">
        <v>31</v>
      </c>
      <c r="I241" s="108">
        <v>29</v>
      </c>
      <c r="J241" s="108">
        <v>15</v>
      </c>
      <c r="K241" s="108">
        <v>20</v>
      </c>
      <c r="L241" s="108">
        <v>45</v>
      </c>
      <c r="M241" s="108" t="s">
        <v>1349</v>
      </c>
      <c r="N241" s="108" t="s">
        <v>1350</v>
      </c>
      <c r="X241" s="108" t="s">
        <v>1351</v>
      </c>
      <c r="Y241" s="108" t="s">
        <v>640</v>
      </c>
      <c r="BF241" s="108" t="s">
        <v>3897</v>
      </c>
    </row>
    <row r="242" spans="1:58">
      <c r="A242" s="108">
        <v>235</v>
      </c>
      <c r="B242" s="108" t="str">
        <f t="shared" si="71"/>
        <v>α leo</v>
      </c>
      <c r="C242" s="108">
        <f t="shared" si="72"/>
        <v>0</v>
      </c>
      <c r="F242" s="108" t="s">
        <v>1352</v>
      </c>
      <c r="G242" s="108">
        <v>23</v>
      </c>
      <c r="H242" s="108">
        <v>27</v>
      </c>
      <c r="I242" s="108">
        <v>58.1</v>
      </c>
      <c r="J242" s="108">
        <v>6</v>
      </c>
      <c r="K242" s="108">
        <v>22</v>
      </c>
      <c r="L242" s="108">
        <v>44</v>
      </c>
      <c r="M242" s="108" t="s">
        <v>1353</v>
      </c>
      <c r="N242" s="108" t="s">
        <v>1354</v>
      </c>
      <c r="X242" s="108" t="s">
        <v>642</v>
      </c>
      <c r="Y242" s="108" t="s">
        <v>640</v>
      </c>
      <c r="BF242" s="108" t="s">
        <v>3898</v>
      </c>
    </row>
    <row r="243" spans="1:58">
      <c r="A243" s="108">
        <v>236</v>
      </c>
      <c r="B243" s="108" t="str">
        <f t="shared" si="71"/>
        <v>α leo</v>
      </c>
      <c r="C243" s="108">
        <f t="shared" si="72"/>
        <v>0</v>
      </c>
      <c r="F243" s="108" t="s">
        <v>1355</v>
      </c>
      <c r="G243" s="108">
        <v>23</v>
      </c>
      <c r="H243" s="108">
        <v>39</v>
      </c>
      <c r="I243" s="108">
        <v>57</v>
      </c>
      <c r="J243" s="108">
        <v>5</v>
      </c>
      <c r="K243" s="108">
        <v>37</v>
      </c>
      <c r="L243" s="108">
        <v>35</v>
      </c>
      <c r="M243" s="108" t="s">
        <v>1356</v>
      </c>
      <c r="N243" s="108" t="s">
        <v>1357</v>
      </c>
      <c r="X243" s="108" t="s">
        <v>1358</v>
      </c>
      <c r="Y243" s="108" t="s">
        <v>587</v>
      </c>
      <c r="BF243" s="108" t="s">
        <v>3899</v>
      </c>
    </row>
    <row r="244" spans="1:58">
      <c r="A244" s="108">
        <v>237</v>
      </c>
      <c r="B244" s="108" t="str">
        <f t="shared" si="71"/>
        <v>α leo</v>
      </c>
      <c r="C244" s="108">
        <f t="shared" si="72"/>
        <v>0</v>
      </c>
      <c r="F244" s="108" t="s">
        <v>1359</v>
      </c>
      <c r="G244" s="108">
        <v>23</v>
      </c>
      <c r="H244" s="108">
        <v>26</v>
      </c>
      <c r="I244" s="108">
        <v>56</v>
      </c>
      <c r="J244" s="108">
        <v>1</v>
      </c>
      <c r="K244" s="108">
        <v>15</v>
      </c>
      <c r="L244" s="108">
        <v>20</v>
      </c>
      <c r="M244" s="108" t="s">
        <v>1360</v>
      </c>
      <c r="N244" s="108" t="s">
        <v>1361</v>
      </c>
      <c r="X244" s="108" t="s">
        <v>589</v>
      </c>
      <c r="Y244" s="108" t="s">
        <v>587</v>
      </c>
      <c r="BE244" s="108">
        <f>Φύλλο1!BE221</f>
        <v>309</v>
      </c>
    </row>
    <row r="245" spans="1:58">
      <c r="A245" s="108">
        <v>238</v>
      </c>
      <c r="B245" s="108" t="str">
        <f t="shared" si="71"/>
        <v>α leo</v>
      </c>
      <c r="C245" s="108">
        <f t="shared" si="72"/>
        <v>0</v>
      </c>
      <c r="F245" s="108" t="s">
        <v>1362</v>
      </c>
      <c r="G245" s="108">
        <v>23</v>
      </c>
      <c r="H245" s="108">
        <v>42</v>
      </c>
      <c r="I245" s="108">
        <v>2.8</v>
      </c>
      <c r="J245" s="108">
        <v>1</v>
      </c>
      <c r="K245" s="108">
        <v>46</v>
      </c>
      <c r="L245" s="108">
        <v>48</v>
      </c>
      <c r="M245" s="108" t="s">
        <v>1363</v>
      </c>
      <c r="N245" s="108" t="s">
        <v>1364</v>
      </c>
      <c r="X245" s="108" t="s">
        <v>1365</v>
      </c>
      <c r="Y245" s="108" t="s">
        <v>648</v>
      </c>
      <c r="BE245" s="108">
        <f ca="1">IF(Φύλλο1!BD221&gt;BE244,2,1)</f>
        <v>1</v>
      </c>
    </row>
    <row r="246" spans="1:58">
      <c r="A246" s="108">
        <v>239</v>
      </c>
      <c r="B246" s="108" t="str">
        <f t="shared" si="71"/>
        <v>α leo</v>
      </c>
      <c r="C246" s="108">
        <f t="shared" si="72"/>
        <v>0</v>
      </c>
      <c r="F246" s="108" t="s">
        <v>1366</v>
      </c>
      <c r="G246" s="108">
        <v>1</v>
      </c>
      <c r="H246" s="108">
        <v>30</v>
      </c>
      <c r="I246" s="108">
        <v>11.1</v>
      </c>
      <c r="J246" s="108">
        <v>6</v>
      </c>
      <c r="K246" s="108">
        <v>8</v>
      </c>
      <c r="L246" s="108">
        <v>38</v>
      </c>
      <c r="M246" s="108" t="s">
        <v>1367</v>
      </c>
      <c r="N246" s="108" t="s">
        <v>1368</v>
      </c>
      <c r="X246" s="108" t="s">
        <v>1369</v>
      </c>
      <c r="Y246" s="108" t="s">
        <v>648</v>
      </c>
      <c r="BE246" s="108">
        <f ca="1">BE245</f>
        <v>1</v>
      </c>
    </row>
    <row r="247" spans="1:58">
      <c r="A247" s="108">
        <v>240</v>
      </c>
      <c r="B247" s="108" t="str">
        <f t="shared" si="71"/>
        <v>α leo</v>
      </c>
      <c r="C247" s="108">
        <f t="shared" si="72"/>
        <v>0</v>
      </c>
      <c r="F247" s="108" t="s">
        <v>1370</v>
      </c>
      <c r="G247" s="108">
        <v>1</v>
      </c>
      <c r="H247" s="108">
        <v>41</v>
      </c>
      <c r="I247" s="108">
        <v>25.9</v>
      </c>
      <c r="J247" s="108">
        <v>5</v>
      </c>
      <c r="K247" s="108">
        <v>29</v>
      </c>
      <c r="L247" s="108">
        <v>15</v>
      </c>
      <c r="M247" s="108" t="s">
        <v>1371</v>
      </c>
      <c r="N247" s="108" t="s">
        <v>1372</v>
      </c>
      <c r="X247" s="108" t="s">
        <v>1373</v>
      </c>
      <c r="Y247" s="108" t="s">
        <v>648</v>
      </c>
      <c r="BE247" s="108">
        <f ca="1">BE246</f>
        <v>1</v>
      </c>
    </row>
    <row r="248" spans="1:58">
      <c r="A248" s="108">
        <v>241</v>
      </c>
      <c r="B248" s="108" t="str">
        <f t="shared" si="71"/>
        <v>α leo</v>
      </c>
      <c r="C248" s="108">
        <f t="shared" si="72"/>
        <v>0</v>
      </c>
      <c r="F248" s="108" t="s">
        <v>1374</v>
      </c>
      <c r="G248" s="108">
        <v>1</v>
      </c>
      <c r="H248" s="108">
        <v>45</v>
      </c>
      <c r="I248" s="108">
        <v>23.6</v>
      </c>
      <c r="J248" s="108">
        <v>9</v>
      </c>
      <c r="K248" s="108">
        <v>9</v>
      </c>
      <c r="L248" s="108">
        <v>28</v>
      </c>
      <c r="M248" s="108" t="s">
        <v>1375</v>
      </c>
      <c r="N248" s="108" t="s">
        <v>1376</v>
      </c>
      <c r="X248" s="108" t="s">
        <v>651</v>
      </c>
      <c r="Y248" s="108" t="s">
        <v>648</v>
      </c>
    </row>
    <row r="249" spans="1:58">
      <c r="A249" s="108">
        <v>242</v>
      </c>
      <c r="B249" s="108" t="str">
        <f t="shared" si="71"/>
        <v>α leo</v>
      </c>
      <c r="C249" s="108">
        <f t="shared" si="72"/>
        <v>0</v>
      </c>
      <c r="F249" s="108" t="s">
        <v>1377</v>
      </c>
      <c r="G249" s="108">
        <v>23</v>
      </c>
      <c r="H249" s="108">
        <v>59</v>
      </c>
      <c r="I249" s="108">
        <v>18.7</v>
      </c>
      <c r="J249" s="108">
        <v>6</v>
      </c>
      <c r="K249" s="108">
        <v>48</v>
      </c>
      <c r="L249" s="108">
        <v>48</v>
      </c>
      <c r="M249" s="108" t="s">
        <v>1378</v>
      </c>
      <c r="N249" s="108" t="s">
        <v>1379</v>
      </c>
      <c r="X249" s="108" t="s">
        <v>1380</v>
      </c>
      <c r="Y249" s="108" t="s">
        <v>171</v>
      </c>
    </row>
    <row r="250" spans="1:58">
      <c r="A250" s="108">
        <v>243</v>
      </c>
      <c r="B250" s="108" t="str">
        <f t="shared" si="71"/>
        <v>α leo</v>
      </c>
      <c r="C250" s="108">
        <f t="shared" si="72"/>
        <v>0</v>
      </c>
      <c r="F250" s="108" t="s">
        <v>552</v>
      </c>
      <c r="M250" s="108" t="s">
        <v>1381</v>
      </c>
      <c r="N250" s="108" t="s">
        <v>550</v>
      </c>
      <c r="X250" s="108" t="s">
        <v>1382</v>
      </c>
      <c r="Y250" s="108" t="s">
        <v>171</v>
      </c>
    </row>
    <row r="251" spans="1:58">
      <c r="A251" s="108">
        <v>244</v>
      </c>
      <c r="B251" s="108" t="str">
        <f t="shared" si="71"/>
        <v>α leo</v>
      </c>
      <c r="C251" s="108">
        <f t="shared" si="72"/>
        <v>0</v>
      </c>
      <c r="F251" s="108" t="s">
        <v>1383</v>
      </c>
      <c r="G251" s="108">
        <v>22</v>
      </c>
      <c r="H251" s="108">
        <v>57</v>
      </c>
      <c r="I251" s="108">
        <v>39.1</v>
      </c>
      <c r="J251" s="108">
        <v>-29</v>
      </c>
      <c r="K251" s="108">
        <v>-37</v>
      </c>
      <c r="L251" s="108">
        <v>-20</v>
      </c>
      <c r="M251" s="108" t="s">
        <v>1384</v>
      </c>
      <c r="N251" s="108" t="s">
        <v>1385</v>
      </c>
      <c r="X251" s="108" t="s">
        <v>1386</v>
      </c>
      <c r="Y251" s="108" t="s">
        <v>171</v>
      </c>
    </row>
    <row r="252" spans="1:58">
      <c r="A252" s="108">
        <v>245</v>
      </c>
      <c r="B252" s="108" t="str">
        <f t="shared" si="71"/>
        <v>α leo</v>
      </c>
      <c r="C252" s="108">
        <f t="shared" si="72"/>
        <v>0</v>
      </c>
      <c r="F252" s="108" t="s">
        <v>1387</v>
      </c>
      <c r="G252" s="108">
        <v>22</v>
      </c>
      <c r="H252" s="108">
        <v>31</v>
      </c>
      <c r="I252" s="108">
        <v>30.4</v>
      </c>
      <c r="J252" s="108">
        <v>-32</v>
      </c>
      <c r="K252" s="108">
        <v>-20</v>
      </c>
      <c r="L252" s="108">
        <v>-45</v>
      </c>
      <c r="M252" s="108" t="s">
        <v>1388</v>
      </c>
      <c r="N252" s="108" t="s">
        <v>1389</v>
      </c>
      <c r="X252" s="108" t="s">
        <v>173</v>
      </c>
      <c r="Y252" s="108" t="s">
        <v>171</v>
      </c>
    </row>
    <row r="253" spans="1:58">
      <c r="A253" s="108">
        <v>246</v>
      </c>
      <c r="B253" s="108" t="str">
        <f t="shared" si="71"/>
        <v>α leo</v>
      </c>
      <c r="C253" s="108">
        <f t="shared" si="72"/>
        <v>0</v>
      </c>
      <c r="F253" s="108" t="s">
        <v>1390</v>
      </c>
      <c r="G253" s="108">
        <v>22</v>
      </c>
      <c r="H253" s="108">
        <v>52</v>
      </c>
      <c r="I253" s="108">
        <v>31.6</v>
      </c>
      <c r="J253" s="108">
        <v>-32</v>
      </c>
      <c r="K253" s="108">
        <v>-52</v>
      </c>
      <c r="L253" s="108">
        <v>-32</v>
      </c>
      <c r="M253" s="108" t="s">
        <v>1391</v>
      </c>
      <c r="N253" s="108" t="s">
        <v>1392</v>
      </c>
      <c r="X253" s="108" t="s">
        <v>1393</v>
      </c>
      <c r="Y253" s="108" t="s">
        <v>369</v>
      </c>
    </row>
    <row r="254" spans="1:58">
      <c r="A254" s="108">
        <v>247</v>
      </c>
      <c r="B254" s="108" t="str">
        <f t="shared" si="71"/>
        <v>α leo</v>
      </c>
      <c r="C254" s="108">
        <f t="shared" si="72"/>
        <v>0</v>
      </c>
      <c r="F254" s="108" t="s">
        <v>1394</v>
      </c>
      <c r="G254" s="108">
        <v>22</v>
      </c>
      <c r="H254" s="108">
        <v>55</v>
      </c>
      <c r="I254" s="108">
        <v>55.9</v>
      </c>
      <c r="J254" s="108">
        <v>-32</v>
      </c>
      <c r="K254" s="108">
        <v>-32</v>
      </c>
      <c r="L254" s="108">
        <v>-23</v>
      </c>
      <c r="M254" s="108" t="s">
        <v>1395</v>
      </c>
      <c r="N254" s="108" t="s">
        <v>1396</v>
      </c>
      <c r="X254" s="108" t="s">
        <v>372</v>
      </c>
      <c r="Y254" s="108" t="s">
        <v>369</v>
      </c>
    </row>
    <row r="255" spans="1:58">
      <c r="A255" s="108">
        <v>248</v>
      </c>
      <c r="B255" s="108" t="str">
        <f t="shared" si="71"/>
        <v>α leo</v>
      </c>
      <c r="C255" s="108">
        <f t="shared" si="72"/>
        <v>0</v>
      </c>
      <c r="F255" s="108" t="s">
        <v>1397</v>
      </c>
      <c r="G255" s="108">
        <v>22</v>
      </c>
      <c r="H255" s="108">
        <v>40</v>
      </c>
      <c r="I255" s="108">
        <v>39.299999999999997</v>
      </c>
      <c r="J255" s="108">
        <v>-27</v>
      </c>
      <c r="K255" s="108">
        <v>-2</v>
      </c>
      <c r="L255" s="108">
        <v>-37</v>
      </c>
      <c r="M255" s="108" t="s">
        <v>1398</v>
      </c>
      <c r="N255" s="108" t="s">
        <v>1399</v>
      </c>
      <c r="X255" s="108" t="s">
        <v>1400</v>
      </c>
      <c r="Y255" s="108" t="s">
        <v>70</v>
      </c>
    </row>
    <row r="256" spans="1:58">
      <c r="A256" s="108">
        <v>249</v>
      </c>
      <c r="B256" s="108" t="str">
        <f t="shared" si="71"/>
        <v>α leo</v>
      </c>
      <c r="C256" s="108">
        <f t="shared" si="72"/>
        <v>0</v>
      </c>
      <c r="F256" s="108" t="s">
        <v>115</v>
      </c>
      <c r="M256" s="108" t="s">
        <v>793</v>
      </c>
      <c r="N256" s="108" t="s">
        <v>113</v>
      </c>
      <c r="X256" s="108" t="s">
        <v>73</v>
      </c>
      <c r="Y256" s="108" t="s">
        <v>70</v>
      </c>
    </row>
    <row r="257" spans="1:25">
      <c r="A257" s="108">
        <v>250</v>
      </c>
      <c r="B257" s="108" t="str">
        <f t="shared" si="71"/>
        <v>α leo</v>
      </c>
      <c r="C257" s="108">
        <f t="shared" si="72"/>
        <v>0</v>
      </c>
      <c r="F257" s="108" t="s">
        <v>1401</v>
      </c>
      <c r="G257" s="108">
        <v>4</v>
      </c>
      <c r="H257" s="108">
        <v>54</v>
      </c>
      <c r="I257" s="108">
        <v>3</v>
      </c>
      <c r="J257" s="108">
        <v>66</v>
      </c>
      <c r="K257" s="108">
        <v>20</v>
      </c>
      <c r="L257" s="108">
        <v>34</v>
      </c>
      <c r="M257" s="108" t="s">
        <v>1402</v>
      </c>
      <c r="N257" s="108" t="s">
        <v>1403</v>
      </c>
      <c r="X257" s="108" t="s">
        <v>1404</v>
      </c>
      <c r="Y257" s="108" t="s">
        <v>529</v>
      </c>
    </row>
    <row r="258" spans="1:25">
      <c r="A258" s="108">
        <v>251</v>
      </c>
      <c r="B258" s="108" t="str">
        <f t="shared" si="71"/>
        <v>α leo</v>
      </c>
      <c r="C258" s="108">
        <f t="shared" si="72"/>
        <v>0</v>
      </c>
      <c r="F258" s="108" t="s">
        <v>1405</v>
      </c>
      <c r="G258" s="108">
        <v>5</v>
      </c>
      <c r="H258" s="108">
        <v>3</v>
      </c>
      <c r="I258" s="108">
        <v>25.1</v>
      </c>
      <c r="J258" s="108">
        <v>60</v>
      </c>
      <c r="K258" s="108">
        <v>26</v>
      </c>
      <c r="L258" s="108">
        <v>32</v>
      </c>
      <c r="M258" s="108" t="s">
        <v>1406</v>
      </c>
      <c r="N258" s="108" t="s">
        <v>1407</v>
      </c>
      <c r="X258" s="108" t="s">
        <v>1408</v>
      </c>
      <c r="Y258" s="108" t="s">
        <v>529</v>
      </c>
    </row>
    <row r="259" spans="1:25">
      <c r="A259" s="108">
        <v>252</v>
      </c>
      <c r="B259" s="108" t="str">
        <f t="shared" si="71"/>
        <v>α leo</v>
      </c>
      <c r="C259" s="108">
        <f t="shared" si="72"/>
        <v>0</v>
      </c>
      <c r="F259" s="108" t="s">
        <v>1409</v>
      </c>
      <c r="G259" s="108">
        <v>3</v>
      </c>
      <c r="H259" s="108">
        <v>50</v>
      </c>
      <c r="I259" s="108">
        <v>21.5</v>
      </c>
      <c r="J259" s="108">
        <v>71</v>
      </c>
      <c r="K259" s="108">
        <v>19</v>
      </c>
      <c r="L259" s="108">
        <v>56</v>
      </c>
      <c r="M259" s="108" t="s">
        <v>1410</v>
      </c>
      <c r="N259" s="108" t="s">
        <v>1411</v>
      </c>
      <c r="X259" s="108" t="s">
        <v>1412</v>
      </c>
      <c r="Y259" s="108" t="s">
        <v>529</v>
      </c>
    </row>
    <row r="260" spans="1:25">
      <c r="A260" s="108">
        <v>253</v>
      </c>
      <c r="B260" s="108" t="str">
        <f t="shared" si="71"/>
        <v>α leo</v>
      </c>
      <c r="C260" s="108">
        <f t="shared" si="72"/>
        <v>0</v>
      </c>
      <c r="F260" s="108" t="s">
        <v>335</v>
      </c>
      <c r="M260" s="108" t="s">
        <v>1413</v>
      </c>
      <c r="N260" s="108" t="s">
        <v>333</v>
      </c>
      <c r="X260" s="108" t="s">
        <v>1414</v>
      </c>
      <c r="Y260" s="108" t="s">
        <v>529</v>
      </c>
    </row>
    <row r="261" spans="1:25">
      <c r="A261" s="108">
        <v>254</v>
      </c>
      <c r="B261" s="108" t="str">
        <f t="shared" si="71"/>
        <v>α leo</v>
      </c>
      <c r="C261" s="108">
        <f t="shared" si="72"/>
        <v>0</v>
      </c>
      <c r="F261" s="108" t="s">
        <v>122</v>
      </c>
      <c r="M261" s="108" t="s">
        <v>1415</v>
      </c>
      <c r="N261" s="108" t="s">
        <v>120</v>
      </c>
      <c r="X261" s="108" t="s">
        <v>1416</v>
      </c>
      <c r="Y261" s="108" t="s">
        <v>496</v>
      </c>
    </row>
    <row r="262" spans="1:25">
      <c r="A262" s="108">
        <v>255</v>
      </c>
      <c r="B262" s="108" t="str">
        <f t="shared" ref="B262:B325" si="73">IF(B261=F262,A262,B261)</f>
        <v>α leo</v>
      </c>
      <c r="C262" s="108">
        <f t="shared" ref="C262:C325" si="74" xml:space="preserve"> IF(C261=F262,A262,C261)</f>
        <v>0</v>
      </c>
      <c r="F262" s="108" t="s">
        <v>1417</v>
      </c>
      <c r="G262" s="108">
        <v>8</v>
      </c>
      <c r="H262" s="108">
        <v>58</v>
      </c>
      <c r="I262" s="108">
        <v>29.2</v>
      </c>
      <c r="J262" s="108">
        <v>11</v>
      </c>
      <c r="K262" s="108">
        <v>51</v>
      </c>
      <c r="L262" s="108">
        <v>28</v>
      </c>
      <c r="M262" s="108" t="s">
        <v>1418</v>
      </c>
      <c r="N262" s="108" t="s">
        <v>1419</v>
      </c>
      <c r="X262" s="108" t="s">
        <v>499</v>
      </c>
      <c r="Y262" s="108" t="s">
        <v>496</v>
      </c>
    </row>
    <row r="263" spans="1:25">
      <c r="A263" s="108">
        <v>256</v>
      </c>
      <c r="B263" s="108" t="str">
        <f t="shared" si="73"/>
        <v>α leo</v>
      </c>
      <c r="C263" s="108">
        <f t="shared" si="74"/>
        <v>0</v>
      </c>
      <c r="F263" s="108" t="s">
        <v>1420</v>
      </c>
      <c r="G263" s="108">
        <v>8</v>
      </c>
      <c r="H263" s="108">
        <v>16</v>
      </c>
      <c r="I263" s="108">
        <v>30.9</v>
      </c>
      <c r="J263" s="108">
        <v>9</v>
      </c>
      <c r="K263" s="108">
        <v>11</v>
      </c>
      <c r="L263" s="108">
        <v>8</v>
      </c>
      <c r="M263" s="108" t="s">
        <v>1421</v>
      </c>
      <c r="N263" s="108" t="s">
        <v>1422</v>
      </c>
      <c r="X263" s="108" t="s">
        <v>1423</v>
      </c>
      <c r="Y263" s="108" t="s">
        <v>496</v>
      </c>
    </row>
    <row r="264" spans="1:25">
      <c r="A264" s="108">
        <v>257</v>
      </c>
      <c r="B264" s="108" t="str">
        <f t="shared" si="73"/>
        <v>α leo</v>
      </c>
      <c r="C264" s="108">
        <f t="shared" si="74"/>
        <v>0</v>
      </c>
      <c r="F264" s="108" t="s">
        <v>1424</v>
      </c>
      <c r="G264" s="108">
        <v>8</v>
      </c>
      <c r="H264" s="108">
        <v>43</v>
      </c>
      <c r="I264" s="108">
        <v>17.100000000000001</v>
      </c>
      <c r="J264" s="108">
        <v>21</v>
      </c>
      <c r="K264" s="108">
        <v>28</v>
      </c>
      <c r="L264" s="108">
        <v>7</v>
      </c>
      <c r="M264" s="108" t="s">
        <v>1425</v>
      </c>
      <c r="N264" s="108" t="s">
        <v>1426</v>
      </c>
      <c r="X264" s="108" t="s">
        <v>1427</v>
      </c>
      <c r="Y264" s="108" t="s">
        <v>496</v>
      </c>
    </row>
    <row r="265" spans="1:25">
      <c r="A265" s="108">
        <v>258</v>
      </c>
      <c r="B265" s="108" t="str">
        <f t="shared" si="73"/>
        <v>α leo</v>
      </c>
      <c r="C265" s="108">
        <f t="shared" si="74"/>
        <v>0</v>
      </c>
      <c r="F265" s="108" t="s">
        <v>1428</v>
      </c>
      <c r="G265" s="108">
        <v>8</v>
      </c>
      <c r="H265" s="108">
        <v>44</v>
      </c>
      <c r="I265" s="108">
        <v>41.1</v>
      </c>
      <c r="J265" s="108">
        <v>18</v>
      </c>
      <c r="K265" s="108">
        <v>9</v>
      </c>
      <c r="L265" s="108">
        <v>15</v>
      </c>
      <c r="M265" s="108" t="s">
        <v>1429</v>
      </c>
      <c r="N265" s="108" t="s">
        <v>1430</v>
      </c>
      <c r="X265" s="108" t="s">
        <v>1431</v>
      </c>
      <c r="Y265" s="108" t="s">
        <v>1431</v>
      </c>
    </row>
    <row r="266" spans="1:25">
      <c r="A266" s="108">
        <v>259</v>
      </c>
      <c r="B266" s="108" t="str">
        <f t="shared" si="73"/>
        <v>α leo</v>
      </c>
      <c r="C266" s="108">
        <f t="shared" si="74"/>
        <v>0</v>
      </c>
      <c r="F266" s="108" t="s">
        <v>1432</v>
      </c>
      <c r="G266" s="108">
        <v>8</v>
      </c>
      <c r="H266" s="108">
        <v>12</v>
      </c>
      <c r="I266" s="108">
        <v>12.7</v>
      </c>
      <c r="J266" s="108">
        <v>17</v>
      </c>
      <c r="K266" s="108">
        <v>38</v>
      </c>
      <c r="L266" s="108">
        <v>53</v>
      </c>
      <c r="M266" s="108" t="s">
        <v>1433</v>
      </c>
      <c r="N266" s="108" t="s">
        <v>1434</v>
      </c>
      <c r="X266" s="108" t="s">
        <v>1435</v>
      </c>
      <c r="Y266" s="108" t="s">
        <v>1436</v>
      </c>
    </row>
    <row r="267" spans="1:25">
      <c r="A267" s="108">
        <v>260</v>
      </c>
      <c r="B267" s="108" t="str">
        <f t="shared" si="73"/>
        <v>α leo</v>
      </c>
      <c r="C267" s="108">
        <f t="shared" si="74"/>
        <v>0</v>
      </c>
      <c r="F267" s="108" t="s">
        <v>1437</v>
      </c>
      <c r="G267" s="108">
        <v>8</v>
      </c>
      <c r="H267" s="108">
        <v>46</v>
      </c>
      <c r="I267" s="108">
        <v>41.8</v>
      </c>
      <c r="J267" s="108">
        <v>28</v>
      </c>
      <c r="K267" s="108">
        <v>45</v>
      </c>
      <c r="L267" s="108">
        <v>36</v>
      </c>
      <c r="M267" s="108" t="s">
        <v>1438</v>
      </c>
      <c r="N267" s="108" t="s">
        <v>1439</v>
      </c>
    </row>
    <row r="268" spans="1:25">
      <c r="A268" s="108">
        <v>261</v>
      </c>
      <c r="B268" s="108" t="str">
        <f t="shared" si="73"/>
        <v>α leo</v>
      </c>
      <c r="C268" s="108">
        <f t="shared" si="74"/>
        <v>0</v>
      </c>
      <c r="F268" s="108" t="s">
        <v>183</v>
      </c>
      <c r="H268" s="116"/>
      <c r="I268" s="116"/>
      <c r="K268" s="116"/>
      <c r="L268" s="116"/>
      <c r="M268" s="116" t="s">
        <v>1440</v>
      </c>
      <c r="N268" s="116" t="s">
        <v>190</v>
      </c>
    </row>
    <row r="269" spans="1:25">
      <c r="A269" s="108">
        <v>262</v>
      </c>
      <c r="B269" s="108" t="str">
        <f t="shared" si="73"/>
        <v>α leo</v>
      </c>
      <c r="C269" s="108">
        <f t="shared" si="74"/>
        <v>0</v>
      </c>
      <c r="F269" s="108" t="s">
        <v>1441</v>
      </c>
      <c r="G269" s="116">
        <v>0</v>
      </c>
      <c r="H269" s="116">
        <v>40</v>
      </c>
      <c r="I269" s="116">
        <v>30.4</v>
      </c>
      <c r="J269" s="116">
        <v>56</v>
      </c>
      <c r="K269" s="116">
        <v>32</v>
      </c>
      <c r="L269" s="116">
        <v>14</v>
      </c>
      <c r="M269" s="116" t="s">
        <v>1442</v>
      </c>
      <c r="N269" s="116" t="s">
        <v>1443</v>
      </c>
    </row>
    <row r="270" spans="1:25">
      <c r="A270" s="108">
        <v>263</v>
      </c>
      <c r="B270" s="108" t="str">
        <f t="shared" si="73"/>
        <v>α leo</v>
      </c>
      <c r="C270" s="108">
        <f t="shared" si="74"/>
        <v>0</v>
      </c>
      <c r="F270" s="108" t="s">
        <v>1444</v>
      </c>
      <c r="G270" s="116">
        <v>0</v>
      </c>
      <c r="H270" s="116">
        <v>9</v>
      </c>
      <c r="I270" s="116">
        <v>10.7</v>
      </c>
      <c r="J270" s="116">
        <v>59</v>
      </c>
      <c r="K270" s="116">
        <v>8</v>
      </c>
      <c r="L270" s="116">
        <v>59</v>
      </c>
      <c r="M270" s="116" t="s">
        <v>1445</v>
      </c>
      <c r="N270" s="116" t="s">
        <v>1446</v>
      </c>
    </row>
    <row r="271" spans="1:25">
      <c r="A271" s="108">
        <v>264</v>
      </c>
      <c r="B271" s="108" t="str">
        <f t="shared" si="73"/>
        <v>α leo</v>
      </c>
      <c r="C271" s="108">
        <f t="shared" si="74"/>
        <v>0</v>
      </c>
      <c r="F271" s="108" t="s">
        <v>1447</v>
      </c>
      <c r="G271" s="116">
        <v>0</v>
      </c>
      <c r="H271" s="116">
        <v>56</v>
      </c>
      <c r="I271" s="116">
        <v>42.5</v>
      </c>
      <c r="J271" s="116">
        <v>60</v>
      </c>
      <c r="K271" s="116">
        <v>43</v>
      </c>
      <c r="L271" s="116">
        <v>0</v>
      </c>
      <c r="M271" s="116" t="s">
        <v>1448</v>
      </c>
      <c r="N271" s="116" t="s">
        <v>1449</v>
      </c>
    </row>
    <row r="272" spans="1:25">
      <c r="A272" s="108">
        <v>265</v>
      </c>
      <c r="B272" s="108" t="str">
        <f t="shared" si="73"/>
        <v>α leo</v>
      </c>
      <c r="C272" s="108">
        <f t="shared" si="74"/>
        <v>0</v>
      </c>
      <c r="F272" s="108" t="s">
        <v>1450</v>
      </c>
      <c r="G272" s="116">
        <v>1</v>
      </c>
      <c r="H272" s="116">
        <v>25</v>
      </c>
      <c r="I272" s="116">
        <v>49</v>
      </c>
      <c r="J272" s="116">
        <v>60</v>
      </c>
      <c r="K272" s="116">
        <v>14</v>
      </c>
      <c r="L272" s="116">
        <v>7</v>
      </c>
      <c r="M272" s="116" t="s">
        <v>1451</v>
      </c>
      <c r="N272" s="116" t="s">
        <v>1452</v>
      </c>
    </row>
    <row r="273" spans="1:14">
      <c r="A273" s="108">
        <v>266</v>
      </c>
      <c r="B273" s="108" t="str">
        <f t="shared" si="73"/>
        <v>α leo</v>
      </c>
      <c r="C273" s="108">
        <f t="shared" si="74"/>
        <v>0</v>
      </c>
      <c r="F273" s="108" t="s">
        <v>1453</v>
      </c>
      <c r="G273" s="116">
        <v>1</v>
      </c>
      <c r="H273" s="116">
        <v>54</v>
      </c>
      <c r="I273" s="116">
        <v>23.7</v>
      </c>
      <c r="J273" s="116">
        <v>63</v>
      </c>
      <c r="K273" s="116">
        <v>40</v>
      </c>
      <c r="L273" s="116">
        <v>12</v>
      </c>
      <c r="M273" s="116" t="s">
        <v>1454</v>
      </c>
      <c r="N273" s="116" t="s">
        <v>1455</v>
      </c>
    </row>
    <row r="274" spans="1:14">
      <c r="A274" s="108">
        <v>267</v>
      </c>
      <c r="B274" s="108" t="str">
        <f t="shared" si="73"/>
        <v>α leo</v>
      </c>
      <c r="C274" s="108">
        <f t="shared" si="74"/>
        <v>0</v>
      </c>
      <c r="F274" s="108" t="s">
        <v>1456</v>
      </c>
      <c r="G274" s="116">
        <v>0</v>
      </c>
      <c r="H274" s="116">
        <v>49</v>
      </c>
      <c r="I274" s="116">
        <v>6.3</v>
      </c>
      <c r="J274" s="116">
        <v>57</v>
      </c>
      <c r="K274" s="116">
        <v>48</v>
      </c>
      <c r="L274" s="116">
        <v>55</v>
      </c>
      <c r="M274" s="116" t="s">
        <v>1457</v>
      </c>
      <c r="N274" s="116" t="s">
        <v>1458</v>
      </c>
    </row>
    <row r="275" spans="1:14">
      <c r="A275" s="108">
        <v>268</v>
      </c>
      <c r="B275" s="108" t="str">
        <f t="shared" si="73"/>
        <v>α leo</v>
      </c>
      <c r="C275" s="108">
        <f t="shared" si="74"/>
        <v>0</v>
      </c>
      <c r="F275" s="108" t="s">
        <v>1459</v>
      </c>
      <c r="G275" s="116">
        <v>2</v>
      </c>
      <c r="H275" s="116">
        <v>29</v>
      </c>
      <c r="I275" s="116">
        <v>3.9</v>
      </c>
      <c r="J275" s="116">
        <v>67</v>
      </c>
      <c r="K275" s="116">
        <v>24</v>
      </c>
      <c r="L275" s="116">
        <v>9</v>
      </c>
      <c r="M275" s="116" t="s">
        <v>1460</v>
      </c>
      <c r="N275" s="116" t="s">
        <v>1461</v>
      </c>
    </row>
    <row r="276" spans="1:14">
      <c r="A276" s="108">
        <v>269</v>
      </c>
      <c r="B276" s="108" t="str">
        <f t="shared" si="73"/>
        <v>α leo</v>
      </c>
      <c r="C276" s="108">
        <f t="shared" si="74"/>
        <v>0</v>
      </c>
      <c r="F276" s="108" t="s">
        <v>1462</v>
      </c>
      <c r="G276" s="116">
        <v>0</v>
      </c>
      <c r="H276" s="116">
        <v>33</v>
      </c>
      <c r="I276" s="116">
        <v>0</v>
      </c>
      <c r="J276" s="116">
        <v>62</v>
      </c>
      <c r="K276" s="116">
        <v>55</v>
      </c>
      <c r="L276" s="116">
        <v>54</v>
      </c>
      <c r="M276" s="116" t="s">
        <v>1463</v>
      </c>
      <c r="N276" s="116" t="s">
        <v>1464</v>
      </c>
    </row>
    <row r="277" spans="1:14">
      <c r="A277" s="108">
        <v>270</v>
      </c>
      <c r="B277" s="108" t="str">
        <f t="shared" si="73"/>
        <v>α leo</v>
      </c>
      <c r="C277" s="108">
        <f t="shared" si="74"/>
        <v>0</v>
      </c>
      <c r="F277" s="108" t="s">
        <v>1465</v>
      </c>
      <c r="G277" s="116">
        <v>0</v>
      </c>
      <c r="H277" s="116">
        <v>44</v>
      </c>
      <c r="I277" s="116">
        <v>43.6</v>
      </c>
      <c r="J277" s="116">
        <v>48</v>
      </c>
      <c r="K277" s="116">
        <v>17</v>
      </c>
      <c r="L277" s="116">
        <v>4</v>
      </c>
      <c r="M277" s="116" t="s">
        <v>1466</v>
      </c>
      <c r="N277" s="116" t="s">
        <v>1467</v>
      </c>
    </row>
    <row r="278" spans="1:14">
      <c r="A278" s="108">
        <v>271</v>
      </c>
      <c r="B278" s="108" t="str">
        <f t="shared" si="73"/>
        <v>α leo</v>
      </c>
      <c r="C278" s="108">
        <f t="shared" si="74"/>
        <v>0</v>
      </c>
      <c r="F278" s="108" t="s">
        <v>197</v>
      </c>
      <c r="M278" s="108" t="s">
        <v>1468</v>
      </c>
      <c r="N278" s="108" t="s">
        <v>195</v>
      </c>
    </row>
    <row r="279" spans="1:14">
      <c r="A279" s="108">
        <v>272</v>
      </c>
      <c r="B279" s="108" t="str">
        <f t="shared" si="73"/>
        <v>α leo</v>
      </c>
      <c r="C279" s="108">
        <f t="shared" si="74"/>
        <v>0</v>
      </c>
      <c r="F279" s="108" t="s">
        <v>1469</v>
      </c>
      <c r="G279" s="108">
        <v>14</v>
      </c>
      <c r="H279" s="108">
        <v>6</v>
      </c>
      <c r="I279" s="108">
        <v>40.9</v>
      </c>
      <c r="J279" s="108">
        <v>-36</v>
      </c>
      <c r="K279" s="108">
        <v>-22</v>
      </c>
      <c r="L279" s="108">
        <v>-12</v>
      </c>
      <c r="M279" s="108" t="s">
        <v>1470</v>
      </c>
      <c r="N279" s="108" t="s">
        <v>1471</v>
      </c>
    </row>
    <row r="280" spans="1:14">
      <c r="A280" s="108">
        <v>273</v>
      </c>
      <c r="B280" s="108" t="str">
        <f t="shared" si="73"/>
        <v>α leo</v>
      </c>
      <c r="C280" s="108">
        <f t="shared" si="74"/>
        <v>0</v>
      </c>
      <c r="F280" s="108" t="s">
        <v>1472</v>
      </c>
      <c r="G280" s="108">
        <v>13</v>
      </c>
      <c r="H280" s="108">
        <v>20</v>
      </c>
      <c r="I280" s="108">
        <v>35.799999999999997</v>
      </c>
      <c r="J280" s="108">
        <v>-36</v>
      </c>
      <c r="K280" s="108">
        <v>-42</v>
      </c>
      <c r="L280" s="108">
        <v>-44</v>
      </c>
      <c r="M280" s="108" t="s">
        <v>1473</v>
      </c>
      <c r="N280" s="108" t="s">
        <v>1474</v>
      </c>
    </row>
    <row r="281" spans="1:14">
      <c r="A281" s="108">
        <v>274</v>
      </c>
      <c r="B281" s="108" t="str">
        <f t="shared" si="73"/>
        <v>α leo</v>
      </c>
      <c r="C281" s="108">
        <f t="shared" si="74"/>
        <v>0</v>
      </c>
      <c r="F281" s="108" t="s">
        <v>218</v>
      </c>
      <c r="M281" s="108" t="s">
        <v>1475</v>
      </c>
      <c r="N281" s="108" t="s">
        <v>216</v>
      </c>
    </row>
    <row r="282" spans="1:14">
      <c r="A282" s="108">
        <v>275</v>
      </c>
      <c r="B282" s="108" t="str">
        <f t="shared" si="73"/>
        <v>α leo</v>
      </c>
      <c r="C282" s="108">
        <f t="shared" si="74"/>
        <v>0</v>
      </c>
      <c r="F282" s="108" t="s">
        <v>1476</v>
      </c>
      <c r="G282" s="108">
        <v>3</v>
      </c>
      <c r="H282" s="108">
        <v>2</v>
      </c>
      <c r="I282" s="108">
        <v>16.8</v>
      </c>
      <c r="J282" s="108">
        <v>4</v>
      </c>
      <c r="K282" s="108">
        <v>5</v>
      </c>
      <c r="L282" s="108">
        <v>23</v>
      </c>
      <c r="M282" s="108" t="s">
        <v>1477</v>
      </c>
      <c r="N282" s="108" t="s">
        <v>1478</v>
      </c>
    </row>
    <row r="283" spans="1:14">
      <c r="A283" s="108">
        <v>276</v>
      </c>
      <c r="B283" s="108" t="str">
        <f t="shared" si="73"/>
        <v>α leo</v>
      </c>
      <c r="C283" s="108">
        <f t="shared" si="74"/>
        <v>0</v>
      </c>
      <c r="F283" s="108" t="s">
        <v>1479</v>
      </c>
      <c r="G283" s="108">
        <v>0</v>
      </c>
      <c r="H283" s="108">
        <v>43</v>
      </c>
      <c r="I283" s="108">
        <v>35.4</v>
      </c>
      <c r="J283" s="108">
        <v>-17</v>
      </c>
      <c r="K283" s="108">
        <v>-59</v>
      </c>
      <c r="L283" s="108">
        <v>-12</v>
      </c>
      <c r="M283" s="108" t="s">
        <v>1480</v>
      </c>
      <c r="N283" s="108" t="s">
        <v>1481</v>
      </c>
    </row>
    <row r="284" spans="1:14">
      <c r="A284" s="108">
        <v>277</v>
      </c>
      <c r="B284" s="108" t="str">
        <f t="shared" si="73"/>
        <v>α leo</v>
      </c>
      <c r="C284" s="108">
        <f t="shared" si="74"/>
        <v>0</v>
      </c>
      <c r="F284" s="108" t="s">
        <v>1482</v>
      </c>
      <c r="G284" s="108">
        <v>2</v>
      </c>
      <c r="H284" s="108">
        <v>43</v>
      </c>
      <c r="I284" s="108">
        <v>18</v>
      </c>
      <c r="J284" s="108">
        <v>3</v>
      </c>
      <c r="K284" s="108">
        <v>14</v>
      </c>
      <c r="L284" s="108">
        <v>9</v>
      </c>
      <c r="M284" s="108" t="s">
        <v>1483</v>
      </c>
      <c r="N284" s="108" t="s">
        <v>1484</v>
      </c>
    </row>
    <row r="285" spans="1:14">
      <c r="A285" s="108">
        <v>278</v>
      </c>
      <c r="B285" s="108" t="str">
        <f t="shared" si="73"/>
        <v>α leo</v>
      </c>
      <c r="C285" s="108">
        <f t="shared" si="74"/>
        <v>0</v>
      </c>
      <c r="F285" s="108" t="s">
        <v>1485</v>
      </c>
      <c r="G285" s="108">
        <v>2</v>
      </c>
      <c r="H285" s="108">
        <v>39</v>
      </c>
      <c r="I285" s="108">
        <v>29</v>
      </c>
      <c r="J285" s="108">
        <v>0</v>
      </c>
      <c r="K285" s="108">
        <v>19</v>
      </c>
      <c r="L285" s="108">
        <v>43</v>
      </c>
      <c r="M285" s="108" t="s">
        <v>1486</v>
      </c>
      <c r="N285" s="108" t="s">
        <v>1487</v>
      </c>
    </row>
    <row r="286" spans="1:14">
      <c r="A286" s="108">
        <v>279</v>
      </c>
      <c r="B286" s="108" t="str">
        <f t="shared" si="73"/>
        <v>α leo</v>
      </c>
      <c r="C286" s="108">
        <f t="shared" si="74"/>
        <v>0</v>
      </c>
      <c r="F286" s="108" t="s">
        <v>1488</v>
      </c>
      <c r="G286" s="108">
        <v>1</v>
      </c>
      <c r="H286" s="108">
        <v>51</v>
      </c>
      <c r="I286" s="108">
        <v>27.6</v>
      </c>
      <c r="J286" s="108">
        <v>-10</v>
      </c>
      <c r="K286" s="108">
        <v>-20</v>
      </c>
      <c r="L286" s="108">
        <v>-6</v>
      </c>
      <c r="M286" s="108" t="s">
        <v>1489</v>
      </c>
      <c r="N286" s="108" t="s">
        <v>1490</v>
      </c>
    </row>
    <row r="287" spans="1:14">
      <c r="A287" s="108">
        <v>280</v>
      </c>
      <c r="B287" s="108" t="str">
        <f t="shared" si="73"/>
        <v>α leo</v>
      </c>
      <c r="C287" s="108">
        <f t="shared" si="74"/>
        <v>0</v>
      </c>
      <c r="F287" s="108" t="s">
        <v>1491</v>
      </c>
      <c r="G287" s="108">
        <v>1</v>
      </c>
      <c r="H287" s="108">
        <v>8</v>
      </c>
      <c r="I287" s="108">
        <v>35.4</v>
      </c>
      <c r="J287" s="108">
        <v>-10</v>
      </c>
      <c r="K287" s="108">
        <v>-10</v>
      </c>
      <c r="L287" s="108">
        <v>-56</v>
      </c>
      <c r="M287" s="108" t="s">
        <v>1492</v>
      </c>
      <c r="N287" s="108" t="s">
        <v>1493</v>
      </c>
    </row>
    <row r="288" spans="1:14">
      <c r="A288" s="108">
        <v>281</v>
      </c>
      <c r="B288" s="108" t="str">
        <f t="shared" si="73"/>
        <v>α leo</v>
      </c>
      <c r="C288" s="108">
        <f t="shared" si="74"/>
        <v>0</v>
      </c>
      <c r="F288" s="108" t="s">
        <v>1494</v>
      </c>
      <c r="G288" s="108">
        <v>1</v>
      </c>
      <c r="H288" s="108">
        <v>24</v>
      </c>
      <c r="I288" s="108">
        <v>1.4</v>
      </c>
      <c r="J288" s="108">
        <v>-8</v>
      </c>
      <c r="K288" s="108">
        <v>-11</v>
      </c>
      <c r="L288" s="108">
        <v>0</v>
      </c>
      <c r="M288" s="108" t="s">
        <v>1495</v>
      </c>
      <c r="N288" s="108" t="s">
        <v>1496</v>
      </c>
    </row>
    <row r="289" spans="1:14">
      <c r="A289" s="108">
        <v>282</v>
      </c>
      <c r="B289" s="108" t="str">
        <f t="shared" si="73"/>
        <v>α leo</v>
      </c>
      <c r="C289" s="108">
        <f t="shared" si="74"/>
        <v>0</v>
      </c>
      <c r="F289" s="108" t="s">
        <v>1497</v>
      </c>
      <c r="G289" s="108">
        <v>0</v>
      </c>
      <c r="H289" s="108">
        <v>19</v>
      </c>
      <c r="I289" s="108">
        <v>25.7</v>
      </c>
      <c r="J289" s="108">
        <v>-8</v>
      </c>
      <c r="K289" s="108">
        <v>-49</v>
      </c>
      <c r="L289" s="108">
        <v>-26</v>
      </c>
      <c r="M289" s="108" t="s">
        <v>1498</v>
      </c>
      <c r="N289" s="108" t="s">
        <v>1499</v>
      </c>
    </row>
    <row r="290" spans="1:14">
      <c r="A290" s="108">
        <v>283</v>
      </c>
      <c r="B290" s="108" t="str">
        <f t="shared" si="73"/>
        <v>α leo</v>
      </c>
      <c r="C290" s="108">
        <f t="shared" si="74"/>
        <v>0</v>
      </c>
      <c r="F290" s="108" t="s">
        <v>1500</v>
      </c>
      <c r="G290" s="108">
        <v>2</v>
      </c>
      <c r="H290" s="108">
        <v>19</v>
      </c>
      <c r="I290" s="108">
        <v>20.8</v>
      </c>
      <c r="J290" s="108">
        <v>-2</v>
      </c>
      <c r="K290" s="108">
        <v>-58</v>
      </c>
      <c r="L290" s="108">
        <v>-39</v>
      </c>
      <c r="M290" s="108" t="s">
        <v>1501</v>
      </c>
      <c r="N290" s="108" t="s">
        <v>1502</v>
      </c>
    </row>
    <row r="291" spans="1:14">
      <c r="A291" s="108">
        <v>284</v>
      </c>
      <c r="B291" s="108" t="str">
        <f t="shared" si="73"/>
        <v>α leo</v>
      </c>
      <c r="C291" s="108">
        <f t="shared" si="74"/>
        <v>0</v>
      </c>
      <c r="F291" s="108" t="s">
        <v>1503</v>
      </c>
      <c r="G291" s="108">
        <v>2</v>
      </c>
      <c r="H291" s="108">
        <v>44</v>
      </c>
      <c r="I291" s="108">
        <v>7.3</v>
      </c>
      <c r="J291" s="108">
        <v>-13</v>
      </c>
      <c r="K291" s="108">
        <v>-51</v>
      </c>
      <c r="L291" s="108">
        <v>-31</v>
      </c>
      <c r="M291" s="108" t="s">
        <v>1504</v>
      </c>
      <c r="N291" s="108" t="s">
        <v>1505</v>
      </c>
    </row>
    <row r="292" spans="1:14">
      <c r="A292" s="108">
        <v>285</v>
      </c>
      <c r="B292" s="108" t="str">
        <f t="shared" si="73"/>
        <v>α leo</v>
      </c>
      <c r="C292" s="108">
        <f t="shared" si="74"/>
        <v>0</v>
      </c>
      <c r="F292" s="108" t="s">
        <v>1506</v>
      </c>
      <c r="G292" s="108">
        <v>1</v>
      </c>
      <c r="H292" s="108">
        <v>44</v>
      </c>
      <c r="I292" s="108">
        <v>4.0999999999999996</v>
      </c>
      <c r="J292" s="108">
        <v>-15</v>
      </c>
      <c r="K292" s="108">
        <v>-56</v>
      </c>
      <c r="L292" s="108">
        <v>-15</v>
      </c>
      <c r="M292" s="108" t="s">
        <v>1507</v>
      </c>
      <c r="N292" s="108" t="s">
        <v>1508</v>
      </c>
    </row>
    <row r="293" spans="1:14">
      <c r="A293" s="108">
        <v>286</v>
      </c>
      <c r="B293" s="108" t="str">
        <f t="shared" si="73"/>
        <v>α leo</v>
      </c>
      <c r="C293" s="108">
        <f t="shared" si="74"/>
        <v>0</v>
      </c>
      <c r="F293" s="108" t="s">
        <v>1509</v>
      </c>
      <c r="G293" s="108">
        <v>2</v>
      </c>
      <c r="H293" s="108">
        <v>0</v>
      </c>
      <c r="I293" s="108">
        <v>0.3</v>
      </c>
      <c r="J293" s="108">
        <v>-21</v>
      </c>
      <c r="K293" s="108">
        <v>-4</v>
      </c>
      <c r="L293" s="108">
        <v>-40</v>
      </c>
      <c r="M293" s="108" t="s">
        <v>1510</v>
      </c>
      <c r="N293" s="108" t="s">
        <v>1511</v>
      </c>
    </row>
    <row r="294" spans="1:14">
      <c r="A294" s="108">
        <v>287</v>
      </c>
      <c r="B294" s="108" t="str">
        <f t="shared" si="73"/>
        <v>α leo</v>
      </c>
      <c r="C294" s="108">
        <f t="shared" si="74"/>
        <v>0</v>
      </c>
      <c r="F294" s="108" t="s">
        <v>208</v>
      </c>
      <c r="M294" s="108" t="s">
        <v>1512</v>
      </c>
      <c r="N294" s="108" t="s">
        <v>206</v>
      </c>
    </row>
    <row r="295" spans="1:14">
      <c r="A295" s="108">
        <v>288</v>
      </c>
      <c r="B295" s="108" t="str">
        <f t="shared" si="73"/>
        <v>α leo</v>
      </c>
      <c r="C295" s="108">
        <f t="shared" si="74"/>
        <v>0</v>
      </c>
      <c r="F295" s="108" t="s">
        <v>1513</v>
      </c>
      <c r="G295" s="108">
        <v>21</v>
      </c>
      <c r="H295" s="108">
        <v>18</v>
      </c>
      <c r="I295" s="108">
        <v>34.799999999999997</v>
      </c>
      <c r="J295" s="108">
        <v>62</v>
      </c>
      <c r="K295" s="108">
        <v>35</v>
      </c>
      <c r="L295" s="108">
        <v>8</v>
      </c>
      <c r="M295" s="108" t="s">
        <v>1514</v>
      </c>
      <c r="N295" s="108" t="s">
        <v>1515</v>
      </c>
    </row>
    <row r="296" spans="1:14">
      <c r="A296" s="108">
        <v>289</v>
      </c>
      <c r="B296" s="108" t="str">
        <f t="shared" si="73"/>
        <v>α leo</v>
      </c>
      <c r="C296" s="108">
        <f t="shared" si="74"/>
        <v>0</v>
      </c>
      <c r="F296" s="108" t="s">
        <v>1516</v>
      </c>
      <c r="G296" s="108">
        <v>21</v>
      </c>
      <c r="H296" s="108">
        <v>28</v>
      </c>
      <c r="I296" s="108">
        <v>39.6</v>
      </c>
      <c r="J296" s="108">
        <v>70</v>
      </c>
      <c r="K296" s="108">
        <v>33</v>
      </c>
      <c r="L296" s="108">
        <v>39</v>
      </c>
      <c r="M296" s="108" t="s">
        <v>1517</v>
      </c>
      <c r="N296" s="108" t="s">
        <v>1518</v>
      </c>
    </row>
    <row r="297" spans="1:14">
      <c r="A297" s="108">
        <v>290</v>
      </c>
      <c r="B297" s="108" t="str">
        <f t="shared" si="73"/>
        <v>α leo</v>
      </c>
      <c r="C297" s="108">
        <f t="shared" si="74"/>
        <v>0</v>
      </c>
      <c r="F297" s="108" t="s">
        <v>1519</v>
      </c>
      <c r="G297" s="108">
        <v>23</v>
      </c>
      <c r="H297" s="108">
        <v>39</v>
      </c>
      <c r="I297" s="108">
        <v>20.9</v>
      </c>
      <c r="J297" s="108">
        <v>77</v>
      </c>
      <c r="K297" s="108">
        <v>37</v>
      </c>
      <c r="L297" s="108">
        <v>57</v>
      </c>
      <c r="M297" s="108" t="s">
        <v>1520</v>
      </c>
      <c r="N297" s="108" t="s">
        <v>1521</v>
      </c>
    </row>
    <row r="298" spans="1:14">
      <c r="A298" s="108">
        <v>291</v>
      </c>
      <c r="B298" s="108" t="str">
        <f t="shared" si="73"/>
        <v>α leo</v>
      </c>
      <c r="C298" s="108">
        <f t="shared" si="74"/>
        <v>0</v>
      </c>
      <c r="F298" s="108" t="s">
        <v>1522</v>
      </c>
      <c r="G298" s="108">
        <v>22</v>
      </c>
      <c r="H298" s="108">
        <v>29</v>
      </c>
      <c r="I298" s="108">
        <v>10.3</v>
      </c>
      <c r="J298" s="108">
        <v>58</v>
      </c>
      <c r="K298" s="108">
        <v>24</v>
      </c>
      <c r="L298" s="108">
        <v>55</v>
      </c>
      <c r="M298" s="108" t="s">
        <v>1523</v>
      </c>
      <c r="N298" s="108" t="s">
        <v>1524</v>
      </c>
    </row>
    <row r="299" spans="1:14">
      <c r="A299" s="108">
        <v>292</v>
      </c>
      <c r="B299" s="108" t="str">
        <f t="shared" si="73"/>
        <v>α leo</v>
      </c>
      <c r="C299" s="108">
        <f t="shared" si="74"/>
        <v>0</v>
      </c>
      <c r="F299" s="108" t="s">
        <v>1525</v>
      </c>
      <c r="G299" s="108">
        <v>22</v>
      </c>
      <c r="H299" s="108">
        <v>15</v>
      </c>
      <c r="I299" s="108">
        <v>2</v>
      </c>
      <c r="J299" s="108">
        <v>57</v>
      </c>
      <c r="K299" s="108">
        <v>2</v>
      </c>
      <c r="L299" s="108">
        <v>37</v>
      </c>
      <c r="M299" s="108" t="s">
        <v>1526</v>
      </c>
      <c r="N299" s="108" t="s">
        <v>1527</v>
      </c>
    </row>
    <row r="300" spans="1:14">
      <c r="A300" s="108">
        <v>293</v>
      </c>
      <c r="B300" s="108" t="str">
        <f t="shared" si="73"/>
        <v>α leo</v>
      </c>
      <c r="C300" s="108">
        <f t="shared" si="74"/>
        <v>0</v>
      </c>
      <c r="F300" s="108" t="s">
        <v>1528</v>
      </c>
      <c r="G300" s="108">
        <v>22</v>
      </c>
      <c r="H300" s="108">
        <v>10</v>
      </c>
      <c r="I300" s="108">
        <v>51.3</v>
      </c>
      <c r="J300" s="108">
        <v>58</v>
      </c>
      <c r="K300" s="108">
        <v>12</v>
      </c>
      <c r="L300" s="108">
        <v>4</v>
      </c>
      <c r="M300" s="108" t="s">
        <v>1529</v>
      </c>
      <c r="N300" s="108" t="s">
        <v>1530</v>
      </c>
    </row>
    <row r="301" spans="1:14">
      <c r="A301" s="108">
        <v>294</v>
      </c>
      <c r="B301" s="108" t="str">
        <f t="shared" si="73"/>
        <v>α leo</v>
      </c>
      <c r="C301" s="108">
        <f t="shared" si="74"/>
        <v>0</v>
      </c>
      <c r="F301" s="108" t="s">
        <v>1531</v>
      </c>
      <c r="G301" s="108">
        <v>20</v>
      </c>
      <c r="H301" s="108">
        <v>45</v>
      </c>
      <c r="I301" s="108">
        <v>17.399999999999999</v>
      </c>
      <c r="J301" s="108">
        <v>61</v>
      </c>
      <c r="K301" s="108">
        <v>50</v>
      </c>
      <c r="L301" s="108">
        <v>20</v>
      </c>
      <c r="M301" s="108" t="s">
        <v>1532</v>
      </c>
      <c r="N301" s="108" t="s">
        <v>1533</v>
      </c>
    </row>
    <row r="302" spans="1:14">
      <c r="A302" s="108">
        <v>295</v>
      </c>
      <c r="B302" s="108" t="str">
        <f t="shared" si="73"/>
        <v>α leo</v>
      </c>
      <c r="C302" s="108">
        <f t="shared" si="74"/>
        <v>0</v>
      </c>
      <c r="F302" s="108" t="s">
        <v>1534</v>
      </c>
      <c r="G302" s="108">
        <v>20</v>
      </c>
      <c r="H302" s="108">
        <v>29</v>
      </c>
      <c r="I302" s="108">
        <v>34.9</v>
      </c>
      <c r="J302" s="108">
        <v>62</v>
      </c>
      <c r="K302" s="108">
        <v>59</v>
      </c>
      <c r="L302" s="108">
        <v>39</v>
      </c>
      <c r="M302" s="108" t="s">
        <v>1535</v>
      </c>
      <c r="N302" s="108" t="s">
        <v>1536</v>
      </c>
    </row>
    <row r="303" spans="1:14">
      <c r="A303" s="108">
        <v>296</v>
      </c>
      <c r="B303" s="108" t="str">
        <f t="shared" si="73"/>
        <v>α leo</v>
      </c>
      <c r="C303" s="108">
        <f t="shared" si="74"/>
        <v>0</v>
      </c>
      <c r="F303" s="108" t="s">
        <v>1537</v>
      </c>
      <c r="G303" s="108">
        <v>22</v>
      </c>
      <c r="H303" s="108">
        <v>49</v>
      </c>
      <c r="I303" s="108">
        <v>40.799999999999997</v>
      </c>
      <c r="J303" s="108">
        <v>66</v>
      </c>
      <c r="K303" s="108">
        <v>12</v>
      </c>
      <c r="L303" s="108">
        <v>1</v>
      </c>
      <c r="M303" s="108" t="s">
        <v>1538</v>
      </c>
      <c r="N303" s="108" t="s">
        <v>1539</v>
      </c>
    </row>
    <row r="304" spans="1:14">
      <c r="A304" s="108">
        <v>297</v>
      </c>
      <c r="B304" s="108" t="str">
        <f t="shared" si="73"/>
        <v>α leo</v>
      </c>
      <c r="C304" s="108">
        <f t="shared" si="74"/>
        <v>0</v>
      </c>
      <c r="F304" s="108" t="s">
        <v>1540</v>
      </c>
      <c r="G304" s="108">
        <v>21</v>
      </c>
      <c r="H304" s="108">
        <v>43</v>
      </c>
      <c r="I304" s="108">
        <v>30.4</v>
      </c>
      <c r="J304" s="108">
        <v>58</v>
      </c>
      <c r="K304" s="108">
        <v>46</v>
      </c>
      <c r="L304" s="108">
        <v>48</v>
      </c>
      <c r="M304" s="108" t="s">
        <v>1541</v>
      </c>
      <c r="N304" s="108" t="s">
        <v>1542</v>
      </c>
    </row>
    <row r="305" spans="1:14">
      <c r="A305" s="108">
        <v>298</v>
      </c>
      <c r="B305" s="108" t="str">
        <f t="shared" si="73"/>
        <v>α leo</v>
      </c>
      <c r="C305" s="108">
        <f t="shared" si="74"/>
        <v>0</v>
      </c>
      <c r="F305" s="108" t="s">
        <v>1543</v>
      </c>
      <c r="G305" s="108">
        <v>22</v>
      </c>
      <c r="H305" s="108">
        <v>3</v>
      </c>
      <c r="I305" s="108">
        <v>47.4</v>
      </c>
      <c r="J305" s="108">
        <v>64</v>
      </c>
      <c r="K305" s="108">
        <v>37</v>
      </c>
      <c r="L305" s="108">
        <v>40</v>
      </c>
      <c r="M305" s="108" t="s">
        <v>1544</v>
      </c>
      <c r="N305" s="108" t="s">
        <v>1545</v>
      </c>
    </row>
    <row r="306" spans="1:14">
      <c r="A306" s="108">
        <v>299</v>
      </c>
      <c r="B306" s="108" t="str">
        <f t="shared" si="73"/>
        <v>α leo</v>
      </c>
      <c r="C306" s="108">
        <f t="shared" si="74"/>
        <v>0</v>
      </c>
      <c r="F306" s="108" t="s">
        <v>143</v>
      </c>
      <c r="M306" s="108" t="s">
        <v>1546</v>
      </c>
      <c r="N306" s="108" t="s">
        <v>141</v>
      </c>
    </row>
    <row r="307" spans="1:14">
      <c r="A307" s="108">
        <v>300</v>
      </c>
      <c r="B307" s="108" t="str">
        <f t="shared" si="73"/>
        <v>α leo</v>
      </c>
      <c r="C307" s="108">
        <f t="shared" si="74"/>
        <v>0</v>
      </c>
      <c r="F307" s="108" t="s">
        <v>1547</v>
      </c>
      <c r="G307" s="108">
        <v>6</v>
      </c>
      <c r="H307" s="108">
        <v>45</v>
      </c>
      <c r="I307" s="108">
        <v>8.9</v>
      </c>
      <c r="J307" s="108">
        <v>-16</v>
      </c>
      <c r="K307" s="108">
        <v>-42</v>
      </c>
      <c r="L307" s="108">
        <v>-58</v>
      </c>
      <c r="M307" s="108" t="s">
        <v>1548</v>
      </c>
      <c r="N307" s="108" t="s">
        <v>1549</v>
      </c>
    </row>
    <row r="308" spans="1:14">
      <c r="A308" s="108">
        <v>301</v>
      </c>
      <c r="B308" s="108" t="str">
        <f t="shared" si="73"/>
        <v>α leo</v>
      </c>
      <c r="C308" s="108">
        <f t="shared" si="74"/>
        <v>0</v>
      </c>
      <c r="F308" s="108" t="s">
        <v>1550</v>
      </c>
      <c r="G308" s="108">
        <v>6</v>
      </c>
      <c r="H308" s="108">
        <v>22</v>
      </c>
      <c r="I308" s="108">
        <v>42</v>
      </c>
      <c r="J308" s="108">
        <v>-17</v>
      </c>
      <c r="K308" s="108">
        <v>-57</v>
      </c>
      <c r="L308" s="108">
        <v>-21</v>
      </c>
      <c r="M308" s="108" t="s">
        <v>1551</v>
      </c>
      <c r="N308" s="108" t="s">
        <v>1552</v>
      </c>
    </row>
    <row r="309" spans="1:14">
      <c r="A309" s="108">
        <v>302</v>
      </c>
      <c r="B309" s="108" t="str">
        <f t="shared" si="73"/>
        <v>α leo</v>
      </c>
      <c r="C309" s="108">
        <f t="shared" si="74"/>
        <v>0</v>
      </c>
      <c r="F309" s="108" t="s">
        <v>1553</v>
      </c>
      <c r="G309" s="108">
        <v>7</v>
      </c>
      <c r="H309" s="108">
        <v>8</v>
      </c>
      <c r="I309" s="108">
        <v>23.5</v>
      </c>
      <c r="J309" s="108">
        <v>-26</v>
      </c>
      <c r="K309" s="108">
        <v>-23</v>
      </c>
      <c r="L309" s="108">
        <v>-36</v>
      </c>
      <c r="M309" s="108" t="s">
        <v>1554</v>
      </c>
      <c r="N309" s="108" t="s">
        <v>1555</v>
      </c>
    </row>
    <row r="310" spans="1:14">
      <c r="A310" s="108">
        <v>303</v>
      </c>
      <c r="B310" s="108" t="str">
        <f t="shared" si="73"/>
        <v>α leo</v>
      </c>
      <c r="C310" s="108">
        <f t="shared" si="74"/>
        <v>0</v>
      </c>
      <c r="F310" s="108" t="s">
        <v>1556</v>
      </c>
      <c r="G310" s="108">
        <v>6</v>
      </c>
      <c r="H310" s="108">
        <v>58</v>
      </c>
      <c r="I310" s="108">
        <v>37.6</v>
      </c>
      <c r="J310" s="108">
        <v>-28</v>
      </c>
      <c r="K310" s="108">
        <v>-58</v>
      </c>
      <c r="L310" s="108">
        <v>-20</v>
      </c>
      <c r="M310" s="108" t="s">
        <v>1557</v>
      </c>
      <c r="N310" s="108" t="s">
        <v>1558</v>
      </c>
    </row>
    <row r="311" spans="1:14">
      <c r="A311" s="108">
        <v>304</v>
      </c>
      <c r="B311" s="108" t="str">
        <f t="shared" si="73"/>
        <v>α leo</v>
      </c>
      <c r="C311" s="108">
        <f t="shared" si="74"/>
        <v>0</v>
      </c>
      <c r="F311" s="108" t="s">
        <v>1559</v>
      </c>
      <c r="G311" s="108">
        <v>6</v>
      </c>
      <c r="H311" s="108">
        <v>20</v>
      </c>
      <c r="I311" s="108">
        <v>18.8</v>
      </c>
      <c r="J311" s="108">
        <v>-30</v>
      </c>
      <c r="K311" s="108">
        <v>-3</v>
      </c>
      <c r="L311" s="108">
        <v>-48</v>
      </c>
      <c r="M311" s="108" t="s">
        <v>1560</v>
      </c>
      <c r="N311" s="108" t="s">
        <v>1561</v>
      </c>
    </row>
    <row r="312" spans="1:14">
      <c r="A312" s="108">
        <v>305</v>
      </c>
      <c r="B312" s="108" t="str">
        <f t="shared" si="73"/>
        <v>α leo</v>
      </c>
      <c r="C312" s="108">
        <f t="shared" si="74"/>
        <v>0</v>
      </c>
      <c r="F312" s="108" t="s">
        <v>1562</v>
      </c>
      <c r="G312" s="108">
        <v>7</v>
      </c>
      <c r="H312" s="108">
        <v>24</v>
      </c>
      <c r="I312" s="108">
        <v>5.7</v>
      </c>
      <c r="J312" s="108">
        <v>-29</v>
      </c>
      <c r="K312" s="108">
        <v>-18</v>
      </c>
      <c r="L312" s="108">
        <v>-11</v>
      </c>
      <c r="M312" s="108" t="s">
        <v>1563</v>
      </c>
      <c r="N312" s="108" t="s">
        <v>1564</v>
      </c>
    </row>
    <row r="313" spans="1:14">
      <c r="A313" s="108">
        <v>306</v>
      </c>
      <c r="B313" s="108" t="str">
        <f t="shared" si="73"/>
        <v>α leo</v>
      </c>
      <c r="C313" s="108">
        <f t="shared" si="74"/>
        <v>0</v>
      </c>
      <c r="F313" s="108" t="s">
        <v>1565</v>
      </c>
      <c r="G313" s="108">
        <v>6</v>
      </c>
      <c r="H313" s="108">
        <v>36</v>
      </c>
      <c r="I313" s="108">
        <v>22.9</v>
      </c>
      <c r="J313" s="108">
        <v>-18</v>
      </c>
      <c r="K313" s="108">
        <v>-39</v>
      </c>
      <c r="L313" s="108">
        <v>-36</v>
      </c>
      <c r="M313" s="108" t="s">
        <v>4010</v>
      </c>
      <c r="N313" s="108" t="s">
        <v>4011</v>
      </c>
    </row>
    <row r="314" spans="1:14">
      <c r="A314" s="108">
        <v>307</v>
      </c>
      <c r="B314" s="108" t="str">
        <f t="shared" si="73"/>
        <v>α leo</v>
      </c>
      <c r="C314" s="108">
        <f t="shared" si="74"/>
        <v>0</v>
      </c>
      <c r="F314" s="108" t="s">
        <v>154</v>
      </c>
      <c r="M314" s="108" t="s">
        <v>1566</v>
      </c>
      <c r="N314" s="108" t="s">
        <v>152</v>
      </c>
    </row>
    <row r="315" spans="1:14">
      <c r="A315" s="108">
        <v>308</v>
      </c>
      <c r="B315" s="108" t="str">
        <f t="shared" si="73"/>
        <v>α leo</v>
      </c>
      <c r="C315" s="108">
        <f t="shared" si="74"/>
        <v>0</v>
      </c>
      <c r="F315" s="108" t="s">
        <v>1567</v>
      </c>
      <c r="G315" s="108">
        <v>7</v>
      </c>
      <c r="H315" s="108">
        <v>39</v>
      </c>
      <c r="I315" s="108">
        <v>18.100000000000001</v>
      </c>
      <c r="J315" s="108">
        <v>5</v>
      </c>
      <c r="K315" s="108">
        <v>13</v>
      </c>
      <c r="L315" s="108">
        <v>30</v>
      </c>
      <c r="M315" s="108" t="s">
        <v>1568</v>
      </c>
      <c r="N315" s="108" t="s">
        <v>1569</v>
      </c>
    </row>
    <row r="316" spans="1:14">
      <c r="A316" s="108">
        <v>309</v>
      </c>
      <c r="B316" s="108" t="str">
        <f t="shared" si="73"/>
        <v>α leo</v>
      </c>
      <c r="C316" s="108">
        <f t="shared" si="74"/>
        <v>0</v>
      </c>
      <c r="F316" s="108" t="s">
        <v>1570</v>
      </c>
      <c r="G316" s="108">
        <v>7</v>
      </c>
      <c r="H316" s="108">
        <v>27</v>
      </c>
      <c r="I316" s="108">
        <v>9</v>
      </c>
      <c r="J316" s="108">
        <v>8</v>
      </c>
      <c r="K316" s="108">
        <v>17</v>
      </c>
      <c r="L316" s="108">
        <v>22</v>
      </c>
      <c r="M316" s="108" t="s">
        <v>1571</v>
      </c>
      <c r="N316" s="108" t="s">
        <v>1572</v>
      </c>
    </row>
    <row r="317" spans="1:14">
      <c r="A317" s="108">
        <v>310</v>
      </c>
      <c r="B317" s="108" t="str">
        <f t="shared" si="73"/>
        <v>α leo</v>
      </c>
      <c r="C317" s="108">
        <f t="shared" si="74"/>
        <v>0</v>
      </c>
      <c r="F317" s="108" t="s">
        <v>1573</v>
      </c>
      <c r="G317" s="108">
        <v>7</v>
      </c>
      <c r="H317" s="108">
        <v>28</v>
      </c>
      <c r="I317" s="108">
        <v>9.8000000000000007</v>
      </c>
      <c r="J317" s="108">
        <v>8</v>
      </c>
      <c r="K317" s="108">
        <v>55</v>
      </c>
      <c r="L317" s="108">
        <v>32</v>
      </c>
      <c r="M317" s="108" t="s">
        <v>1574</v>
      </c>
      <c r="N317" s="108" t="s">
        <v>1575</v>
      </c>
    </row>
    <row r="318" spans="1:14">
      <c r="A318" s="108">
        <v>311</v>
      </c>
      <c r="B318" s="108" t="str">
        <f t="shared" si="73"/>
        <v>α leo</v>
      </c>
      <c r="C318" s="108">
        <f t="shared" si="74"/>
        <v>0</v>
      </c>
      <c r="F318" s="108" t="s">
        <v>234</v>
      </c>
      <c r="M318" s="108" t="s">
        <v>1576</v>
      </c>
      <c r="N318" s="108" t="s">
        <v>246</v>
      </c>
    </row>
    <row r="319" spans="1:14">
      <c r="A319" s="108">
        <v>312</v>
      </c>
      <c r="B319" s="108" t="str">
        <f t="shared" si="73"/>
        <v>α leo</v>
      </c>
      <c r="C319" s="108">
        <f t="shared" si="74"/>
        <v>0</v>
      </c>
      <c r="F319" s="108" t="s">
        <v>1577</v>
      </c>
      <c r="G319" s="108">
        <v>13</v>
      </c>
      <c r="H319" s="108">
        <v>9</v>
      </c>
      <c r="I319" s="108">
        <v>59.3</v>
      </c>
      <c r="J319" s="108">
        <v>17</v>
      </c>
      <c r="K319" s="108">
        <v>31</v>
      </c>
      <c r="L319" s="108">
        <v>46</v>
      </c>
      <c r="M319" s="108" t="s">
        <v>1578</v>
      </c>
      <c r="N319" s="108" t="s">
        <v>1579</v>
      </c>
    </row>
    <row r="320" spans="1:14">
      <c r="A320" s="108">
        <v>313</v>
      </c>
      <c r="B320" s="108" t="str">
        <f t="shared" si="73"/>
        <v>α leo</v>
      </c>
      <c r="C320" s="108">
        <f t="shared" si="74"/>
        <v>0</v>
      </c>
      <c r="F320" s="108" t="s">
        <v>1580</v>
      </c>
      <c r="G320" s="108">
        <v>13</v>
      </c>
      <c r="H320" s="108">
        <v>11</v>
      </c>
      <c r="I320" s="108">
        <v>52.4</v>
      </c>
      <c r="J320" s="108">
        <v>27</v>
      </c>
      <c r="K320" s="108">
        <v>25</v>
      </c>
      <c r="L320" s="108">
        <v>41</v>
      </c>
      <c r="M320" s="108" t="s">
        <v>1581</v>
      </c>
      <c r="N320" s="108" t="s">
        <v>1582</v>
      </c>
    </row>
    <row r="321" spans="1:14">
      <c r="A321" s="108">
        <v>314</v>
      </c>
      <c r="B321" s="108" t="str">
        <f t="shared" si="73"/>
        <v>α leo</v>
      </c>
      <c r="C321" s="108">
        <f t="shared" si="74"/>
        <v>0</v>
      </c>
      <c r="F321" s="108" t="s">
        <v>1583</v>
      </c>
      <c r="G321" s="108">
        <v>12</v>
      </c>
      <c r="H321" s="108">
        <v>26</v>
      </c>
      <c r="I321" s="108">
        <v>56.3</v>
      </c>
      <c r="J321" s="108">
        <v>28</v>
      </c>
      <c r="K321" s="108">
        <v>16</v>
      </c>
      <c r="L321" s="108">
        <v>6</v>
      </c>
      <c r="M321" s="108" t="s">
        <v>1584</v>
      </c>
      <c r="N321" s="108" t="s">
        <v>1585</v>
      </c>
    </row>
    <row r="322" spans="1:14">
      <c r="A322" s="108">
        <v>315</v>
      </c>
      <c r="B322" s="108" t="str">
        <f t="shared" si="73"/>
        <v>α leo</v>
      </c>
      <c r="C322" s="108">
        <f t="shared" si="74"/>
        <v>0</v>
      </c>
      <c r="F322" s="108" t="s">
        <v>271</v>
      </c>
      <c r="M322" s="108" t="s">
        <v>1586</v>
      </c>
      <c r="N322" s="108" t="s">
        <v>269</v>
      </c>
    </row>
    <row r="323" spans="1:14">
      <c r="A323" s="108">
        <v>316</v>
      </c>
      <c r="B323" s="108" t="str">
        <f t="shared" si="73"/>
        <v>α leo</v>
      </c>
      <c r="C323" s="108">
        <f t="shared" si="74"/>
        <v>0</v>
      </c>
      <c r="F323" s="108" t="s">
        <v>1587</v>
      </c>
      <c r="G323" s="108">
        <v>12</v>
      </c>
      <c r="H323" s="108">
        <v>8</v>
      </c>
      <c r="I323" s="108">
        <v>24.8</v>
      </c>
      <c r="J323" s="108">
        <v>-24</v>
      </c>
      <c r="K323" s="108">
        <v>-43</v>
      </c>
      <c r="L323" s="108">
        <v>-44</v>
      </c>
      <c r="M323" s="108" t="s">
        <v>1588</v>
      </c>
      <c r="N323" s="108" t="s">
        <v>1589</v>
      </c>
    </row>
    <row r="324" spans="1:14">
      <c r="A324" s="108">
        <v>317</v>
      </c>
      <c r="B324" s="108" t="str">
        <f t="shared" si="73"/>
        <v>α leo</v>
      </c>
      <c r="C324" s="108">
        <f t="shared" si="74"/>
        <v>0</v>
      </c>
      <c r="F324" s="108" t="s">
        <v>1590</v>
      </c>
      <c r="G324" s="108">
        <v>12</v>
      </c>
      <c r="H324" s="108">
        <v>34</v>
      </c>
      <c r="I324" s="108">
        <v>23.2</v>
      </c>
      <c r="J324" s="108">
        <v>-23</v>
      </c>
      <c r="K324" s="108">
        <v>-23</v>
      </c>
      <c r="L324" s="108">
        <v>-48</v>
      </c>
      <c r="M324" s="108" t="s">
        <v>1591</v>
      </c>
      <c r="N324" s="108" t="s">
        <v>1592</v>
      </c>
    </row>
    <row r="325" spans="1:14">
      <c r="A325" s="108">
        <v>318</v>
      </c>
      <c r="B325" s="108" t="str">
        <f t="shared" si="73"/>
        <v>α leo</v>
      </c>
      <c r="C325" s="108">
        <f t="shared" si="74"/>
        <v>0</v>
      </c>
      <c r="F325" s="108" t="s">
        <v>1593</v>
      </c>
      <c r="G325" s="108">
        <v>12</v>
      </c>
      <c r="H325" s="108">
        <v>15</v>
      </c>
      <c r="I325" s="108">
        <v>48.4</v>
      </c>
      <c r="J325" s="108">
        <v>-17</v>
      </c>
      <c r="K325" s="108">
        <v>-32</v>
      </c>
      <c r="L325" s="108">
        <v>-31</v>
      </c>
      <c r="M325" s="108" t="s">
        <v>1594</v>
      </c>
      <c r="N325" s="108" t="s">
        <v>1595</v>
      </c>
    </row>
    <row r="326" spans="1:14">
      <c r="A326" s="108">
        <v>319</v>
      </c>
      <c r="B326" s="108" t="str">
        <f t="shared" ref="B326:B389" si="75">IF(B325=F326,A326,B325)</f>
        <v>α leo</v>
      </c>
      <c r="C326" s="108">
        <f t="shared" ref="C326:C389" si="76" xml:space="preserve"> IF(C325=F326,A326,C325)</f>
        <v>0</v>
      </c>
      <c r="F326" s="108" t="s">
        <v>1596</v>
      </c>
      <c r="G326" s="108">
        <v>12</v>
      </c>
      <c r="H326" s="108">
        <v>29</v>
      </c>
      <c r="I326" s="108">
        <v>51.9</v>
      </c>
      <c r="J326" s="108">
        <v>-16</v>
      </c>
      <c r="K326" s="108">
        <v>-30</v>
      </c>
      <c r="L326" s="108">
        <v>-56</v>
      </c>
      <c r="M326" s="108" t="s">
        <v>1597</v>
      </c>
      <c r="N326" s="108" t="s">
        <v>1598</v>
      </c>
    </row>
    <row r="327" spans="1:14">
      <c r="A327" s="108">
        <v>320</v>
      </c>
      <c r="B327" s="108" t="str">
        <f t="shared" si="75"/>
        <v>α leo</v>
      </c>
      <c r="C327" s="108">
        <f t="shared" si="76"/>
        <v>0</v>
      </c>
      <c r="F327" s="108" t="s">
        <v>1599</v>
      </c>
      <c r="G327" s="108">
        <v>12</v>
      </c>
      <c r="H327" s="108">
        <v>10</v>
      </c>
      <c r="I327" s="108">
        <v>7.5</v>
      </c>
      <c r="J327" s="108">
        <v>-22</v>
      </c>
      <c r="K327" s="108">
        <v>-37</v>
      </c>
      <c r="L327" s="108">
        <v>-11</v>
      </c>
      <c r="M327" s="108" t="s">
        <v>1600</v>
      </c>
      <c r="N327" s="108" t="s">
        <v>1601</v>
      </c>
    </row>
    <row r="328" spans="1:14">
      <c r="A328" s="108">
        <v>321</v>
      </c>
      <c r="B328" s="108" t="str">
        <f t="shared" si="75"/>
        <v>α leo</v>
      </c>
      <c r="C328" s="108">
        <f t="shared" si="76"/>
        <v>0</v>
      </c>
      <c r="F328" s="108" t="s">
        <v>279</v>
      </c>
      <c r="M328" s="108" t="s">
        <v>1602</v>
      </c>
      <c r="N328" s="108" t="s">
        <v>278</v>
      </c>
    </row>
    <row r="329" spans="1:14">
      <c r="A329" s="108">
        <v>322</v>
      </c>
      <c r="B329" s="108" t="str">
        <f t="shared" si="75"/>
        <v>α leo</v>
      </c>
      <c r="C329" s="108">
        <f t="shared" si="76"/>
        <v>0</v>
      </c>
      <c r="F329" s="108" t="s">
        <v>1603</v>
      </c>
      <c r="G329" s="108">
        <v>10</v>
      </c>
      <c r="H329" s="108">
        <v>59</v>
      </c>
      <c r="I329" s="108">
        <v>46.5</v>
      </c>
      <c r="J329" s="108">
        <v>-18</v>
      </c>
      <c r="K329" s="108">
        <v>-17</v>
      </c>
      <c r="L329" s="108">
        <v>-56</v>
      </c>
      <c r="M329" s="108" t="s">
        <v>1604</v>
      </c>
      <c r="N329" s="108" t="s">
        <v>1605</v>
      </c>
    </row>
    <row r="330" spans="1:14">
      <c r="A330" s="108">
        <v>323</v>
      </c>
      <c r="B330" s="108" t="str">
        <f t="shared" si="75"/>
        <v>α leo</v>
      </c>
      <c r="C330" s="108">
        <f t="shared" si="76"/>
        <v>0</v>
      </c>
      <c r="F330" s="108" t="s">
        <v>1606</v>
      </c>
      <c r="G330" s="108">
        <v>11</v>
      </c>
      <c r="H330" s="108">
        <v>11</v>
      </c>
      <c r="I330" s="108">
        <v>39.5</v>
      </c>
      <c r="J330" s="108">
        <v>-22</v>
      </c>
      <c r="K330" s="108">
        <v>-49</v>
      </c>
      <c r="L330" s="108">
        <v>-33</v>
      </c>
      <c r="M330" s="108" t="s">
        <v>1607</v>
      </c>
      <c r="N330" s="108" t="s">
        <v>1608</v>
      </c>
    </row>
    <row r="331" spans="1:14">
      <c r="A331" s="108">
        <v>324</v>
      </c>
      <c r="B331" s="108" t="str">
        <f t="shared" si="75"/>
        <v>α leo</v>
      </c>
      <c r="C331" s="108">
        <f t="shared" si="76"/>
        <v>0</v>
      </c>
      <c r="F331" s="108" t="s">
        <v>1609</v>
      </c>
      <c r="G331" s="108">
        <v>11</v>
      </c>
      <c r="H331" s="108">
        <v>24</v>
      </c>
      <c r="I331" s="108">
        <v>52.9</v>
      </c>
      <c r="J331" s="108">
        <v>-17</v>
      </c>
      <c r="K331" s="108">
        <v>-41</v>
      </c>
      <c r="L331" s="108">
        <v>-2</v>
      </c>
      <c r="M331" s="108" t="s">
        <v>1610</v>
      </c>
      <c r="N331" s="108" t="s">
        <v>1611</v>
      </c>
    </row>
    <row r="332" spans="1:14">
      <c r="A332" s="108">
        <v>325</v>
      </c>
      <c r="B332" s="108" t="str">
        <f t="shared" si="75"/>
        <v>α leo</v>
      </c>
      <c r="C332" s="108">
        <f t="shared" si="76"/>
        <v>0</v>
      </c>
      <c r="F332" s="108" t="s">
        <v>1612</v>
      </c>
      <c r="G332" s="108">
        <v>11</v>
      </c>
      <c r="H332" s="108">
        <v>19</v>
      </c>
      <c r="I332" s="108">
        <v>20.399999999999999</v>
      </c>
      <c r="J332" s="108">
        <v>-14</v>
      </c>
      <c r="K332" s="108">
        <v>-46</v>
      </c>
      <c r="L332" s="108">
        <v>-43</v>
      </c>
      <c r="M332" s="108" t="s">
        <v>1613</v>
      </c>
      <c r="N332" s="108" t="s">
        <v>1614</v>
      </c>
    </row>
    <row r="333" spans="1:14">
      <c r="A333" s="108">
        <v>326</v>
      </c>
      <c r="B333" s="108" t="str">
        <f t="shared" si="75"/>
        <v>α leo</v>
      </c>
      <c r="C333" s="108">
        <f t="shared" si="76"/>
        <v>0</v>
      </c>
      <c r="F333" s="108" t="s">
        <v>1615</v>
      </c>
      <c r="G333" s="108">
        <v>11</v>
      </c>
      <c r="H333" s="108">
        <v>24</v>
      </c>
      <c r="I333" s="108">
        <v>36.6</v>
      </c>
      <c r="J333" s="108">
        <v>-10</v>
      </c>
      <c r="K333" s="108">
        <v>-51</v>
      </c>
      <c r="L333" s="108">
        <v>-34</v>
      </c>
      <c r="M333" s="108" t="s">
        <v>1616</v>
      </c>
      <c r="N333" s="108" t="s">
        <v>1617</v>
      </c>
    </row>
    <row r="334" spans="1:14">
      <c r="A334" s="108">
        <v>327</v>
      </c>
      <c r="B334" s="108" t="str">
        <f t="shared" si="75"/>
        <v>α leo</v>
      </c>
      <c r="C334" s="108">
        <f t="shared" si="76"/>
        <v>0</v>
      </c>
      <c r="F334" s="108" t="s">
        <v>1618</v>
      </c>
      <c r="G334" s="108">
        <v>11</v>
      </c>
      <c r="H334" s="108">
        <v>44</v>
      </c>
      <c r="I334" s="108">
        <v>45.8</v>
      </c>
      <c r="J334" s="108">
        <v>-18</v>
      </c>
      <c r="K334" s="108">
        <v>-21</v>
      </c>
      <c r="L334" s="108">
        <v>-2</v>
      </c>
      <c r="M334" s="108" t="s">
        <v>1619</v>
      </c>
      <c r="N334" s="108" t="s">
        <v>1620</v>
      </c>
    </row>
    <row r="335" spans="1:14">
      <c r="A335" s="108">
        <v>328</v>
      </c>
      <c r="B335" s="108" t="str">
        <f t="shared" si="75"/>
        <v>α leo</v>
      </c>
      <c r="C335" s="108">
        <f t="shared" si="76"/>
        <v>0</v>
      </c>
      <c r="F335" s="108" t="s">
        <v>1621</v>
      </c>
      <c r="G335" s="108">
        <v>11</v>
      </c>
      <c r="H335" s="108">
        <v>56</v>
      </c>
      <c r="I335" s="108">
        <v>1</v>
      </c>
      <c r="J335" s="108">
        <v>-17</v>
      </c>
      <c r="K335" s="108">
        <v>-9</v>
      </c>
      <c r="L335" s="108">
        <v>-3</v>
      </c>
      <c r="M335" s="108" t="s">
        <v>1622</v>
      </c>
      <c r="N335" s="108" t="s">
        <v>1623</v>
      </c>
    </row>
    <row r="336" spans="1:14">
      <c r="A336" s="108">
        <v>329</v>
      </c>
      <c r="B336" s="108" t="str">
        <f t="shared" si="75"/>
        <v>α leo</v>
      </c>
      <c r="C336" s="108">
        <f t="shared" si="76"/>
        <v>0</v>
      </c>
      <c r="F336" s="108" t="s">
        <v>1624</v>
      </c>
      <c r="G336" s="108">
        <v>11</v>
      </c>
      <c r="H336" s="108">
        <v>36</v>
      </c>
      <c r="I336" s="108">
        <v>40.9</v>
      </c>
      <c r="J336" s="108">
        <v>-9</v>
      </c>
      <c r="K336" s="108">
        <v>-48</v>
      </c>
      <c r="L336" s="108">
        <v>-8</v>
      </c>
      <c r="M336" s="108" t="s">
        <v>1625</v>
      </c>
      <c r="N336" s="108" t="s">
        <v>1626</v>
      </c>
    </row>
    <row r="337" spans="1:14">
      <c r="A337" s="108">
        <v>330</v>
      </c>
      <c r="B337" s="108" t="str">
        <f t="shared" si="75"/>
        <v>α leo</v>
      </c>
      <c r="C337" s="108">
        <f t="shared" si="76"/>
        <v>0</v>
      </c>
      <c r="F337" s="108" t="s">
        <v>92</v>
      </c>
      <c r="M337" s="108" t="s">
        <v>1627</v>
      </c>
      <c r="N337" s="108" t="s">
        <v>90</v>
      </c>
    </row>
    <row r="338" spans="1:14">
      <c r="A338" s="108">
        <v>331</v>
      </c>
      <c r="B338" s="108" t="str">
        <f t="shared" si="75"/>
        <v>α leo</v>
      </c>
      <c r="C338" s="108">
        <f t="shared" si="76"/>
        <v>0</v>
      </c>
      <c r="F338" s="108" t="s">
        <v>1628</v>
      </c>
      <c r="G338" s="108">
        <v>2</v>
      </c>
      <c r="H338" s="108">
        <v>49</v>
      </c>
      <c r="I338" s="108">
        <v>59</v>
      </c>
      <c r="J338" s="108">
        <v>27</v>
      </c>
      <c r="K338" s="108">
        <v>15</v>
      </c>
      <c r="L338" s="108">
        <v>38</v>
      </c>
      <c r="M338" s="108" t="s">
        <v>1629</v>
      </c>
      <c r="N338" s="108" t="s">
        <v>1630</v>
      </c>
    </row>
    <row r="339" spans="1:14">
      <c r="A339" s="108">
        <v>332</v>
      </c>
      <c r="B339" s="108" t="str">
        <f t="shared" si="75"/>
        <v>α leo</v>
      </c>
      <c r="C339" s="108">
        <f t="shared" si="76"/>
        <v>0</v>
      </c>
      <c r="F339" s="108" t="s">
        <v>1631</v>
      </c>
      <c r="G339" s="108">
        <v>2</v>
      </c>
      <c r="H339" s="108">
        <v>7</v>
      </c>
      <c r="I339" s="108">
        <v>10.4</v>
      </c>
      <c r="J339" s="108">
        <v>23</v>
      </c>
      <c r="K339" s="108">
        <v>27</v>
      </c>
      <c r="L339" s="108">
        <v>45</v>
      </c>
      <c r="M339" s="108" t="s">
        <v>1632</v>
      </c>
      <c r="N339" s="108" t="s">
        <v>1633</v>
      </c>
    </row>
    <row r="340" spans="1:14">
      <c r="A340" s="108">
        <v>333</v>
      </c>
      <c r="B340" s="108" t="str">
        <f t="shared" si="75"/>
        <v>α leo</v>
      </c>
      <c r="C340" s="108">
        <f t="shared" si="76"/>
        <v>0</v>
      </c>
      <c r="F340" s="108" t="s">
        <v>1634</v>
      </c>
      <c r="G340" s="108">
        <v>1</v>
      </c>
      <c r="H340" s="108">
        <v>54</v>
      </c>
      <c r="I340" s="108">
        <v>38.4</v>
      </c>
      <c r="J340" s="108">
        <v>20</v>
      </c>
      <c r="K340" s="108">
        <v>48</v>
      </c>
      <c r="L340" s="108">
        <v>29</v>
      </c>
      <c r="M340" s="108" t="s">
        <v>1635</v>
      </c>
      <c r="N340" s="108" t="s">
        <v>1636</v>
      </c>
    </row>
    <row r="341" spans="1:14">
      <c r="A341" s="108">
        <v>334</v>
      </c>
      <c r="B341" s="108" t="str">
        <f t="shared" si="75"/>
        <v>α leo</v>
      </c>
      <c r="C341" s="108">
        <f t="shared" si="76"/>
        <v>0</v>
      </c>
      <c r="F341" s="108" t="s">
        <v>1637</v>
      </c>
      <c r="G341" s="108">
        <v>1</v>
      </c>
      <c r="H341" s="108">
        <v>53</v>
      </c>
      <c r="I341" s="108">
        <v>31.8</v>
      </c>
      <c r="J341" s="108">
        <v>19</v>
      </c>
      <c r="K341" s="108">
        <v>17</v>
      </c>
      <c r="L341" s="108">
        <v>38</v>
      </c>
      <c r="M341" s="108" t="s">
        <v>1638</v>
      </c>
      <c r="N341" s="108" t="s">
        <v>1639</v>
      </c>
    </row>
    <row r="342" spans="1:14">
      <c r="A342" s="108">
        <v>335</v>
      </c>
      <c r="B342" s="108" t="str">
        <f t="shared" si="75"/>
        <v>α leo</v>
      </c>
      <c r="C342" s="108">
        <f t="shared" si="76"/>
        <v>0</v>
      </c>
      <c r="F342" s="108" t="s">
        <v>133</v>
      </c>
      <c r="M342" s="108" t="s">
        <v>1640</v>
      </c>
      <c r="N342" s="108" t="s">
        <v>131</v>
      </c>
    </row>
    <row r="343" spans="1:14">
      <c r="A343" s="108">
        <v>336</v>
      </c>
      <c r="B343" s="108" t="str">
        <f t="shared" si="75"/>
        <v>α leo</v>
      </c>
      <c r="C343" s="108">
        <f t="shared" si="76"/>
        <v>0</v>
      </c>
      <c r="F343" s="108" t="s">
        <v>1641</v>
      </c>
      <c r="G343" s="108">
        <v>12</v>
      </c>
      <c r="H343" s="108">
        <v>56</v>
      </c>
      <c r="I343" s="108">
        <v>1.7</v>
      </c>
      <c r="J343" s="108">
        <v>38</v>
      </c>
      <c r="K343" s="108">
        <v>19</v>
      </c>
      <c r="L343" s="108">
        <v>6</v>
      </c>
      <c r="M343" s="108" t="s">
        <v>1642</v>
      </c>
      <c r="N343" s="108" t="s">
        <v>1643</v>
      </c>
    </row>
    <row r="344" spans="1:14">
      <c r="A344" s="108">
        <v>337</v>
      </c>
      <c r="B344" s="108" t="str">
        <f t="shared" si="75"/>
        <v>α leo</v>
      </c>
      <c r="C344" s="108">
        <f t="shared" si="76"/>
        <v>0</v>
      </c>
      <c r="F344" s="108" t="s">
        <v>1644</v>
      </c>
      <c r="G344" s="108">
        <v>12</v>
      </c>
      <c r="H344" s="108">
        <v>33</v>
      </c>
      <c r="I344" s="108">
        <v>44.5</v>
      </c>
      <c r="J344" s="108">
        <v>41</v>
      </c>
      <c r="K344" s="108">
        <v>21</v>
      </c>
      <c r="L344" s="108">
        <v>27</v>
      </c>
      <c r="M344" s="108" t="s">
        <v>1645</v>
      </c>
      <c r="N344" s="108" t="s">
        <v>1646</v>
      </c>
    </row>
    <row r="345" spans="1:14">
      <c r="A345" s="108">
        <v>338</v>
      </c>
      <c r="B345" s="108" t="str">
        <f t="shared" si="75"/>
        <v>α leo</v>
      </c>
      <c r="C345" s="108">
        <f t="shared" si="76"/>
        <v>0</v>
      </c>
      <c r="F345" s="108" t="s">
        <v>289</v>
      </c>
      <c r="M345" s="108" t="s">
        <v>1647</v>
      </c>
      <c r="N345" s="108" t="s">
        <v>287</v>
      </c>
    </row>
    <row r="346" spans="1:14">
      <c r="A346" s="108">
        <v>339</v>
      </c>
      <c r="B346" s="108" t="str">
        <f t="shared" si="75"/>
        <v>α leo</v>
      </c>
      <c r="C346" s="108">
        <f t="shared" si="76"/>
        <v>0</v>
      </c>
      <c r="F346" s="108" t="s">
        <v>1648</v>
      </c>
      <c r="G346" s="108">
        <v>20</v>
      </c>
      <c r="H346" s="108">
        <v>45</v>
      </c>
      <c r="I346" s="108">
        <v>39.799999999999997</v>
      </c>
      <c r="J346" s="108">
        <v>30</v>
      </c>
      <c r="K346" s="108">
        <v>43</v>
      </c>
      <c r="L346" s="108">
        <v>11</v>
      </c>
      <c r="M346" s="108" t="s">
        <v>1649</v>
      </c>
      <c r="N346" s="108" t="s">
        <v>1650</v>
      </c>
    </row>
    <row r="347" spans="1:14">
      <c r="A347" s="108">
        <v>340</v>
      </c>
      <c r="B347" s="108" t="str">
        <f t="shared" si="75"/>
        <v>α leo</v>
      </c>
      <c r="C347" s="108">
        <f t="shared" si="76"/>
        <v>0</v>
      </c>
      <c r="F347" s="108" t="s">
        <v>1651</v>
      </c>
      <c r="G347" s="108">
        <v>21</v>
      </c>
      <c r="H347" s="108">
        <v>6</v>
      </c>
      <c r="I347" s="108">
        <v>54.6</v>
      </c>
      <c r="J347" s="108">
        <v>38</v>
      </c>
      <c r="K347" s="108">
        <v>44</v>
      </c>
      <c r="L347" s="108">
        <v>45</v>
      </c>
      <c r="M347" s="108" t="s">
        <v>1652</v>
      </c>
      <c r="N347" s="108" t="s">
        <v>1653</v>
      </c>
    </row>
    <row r="348" spans="1:14">
      <c r="A348" s="108">
        <v>341</v>
      </c>
      <c r="B348" s="108" t="str">
        <f t="shared" si="75"/>
        <v>α leo</v>
      </c>
      <c r="C348" s="108">
        <f t="shared" si="76"/>
        <v>0</v>
      </c>
      <c r="F348" s="108" t="s">
        <v>1654</v>
      </c>
      <c r="G348" s="108">
        <v>20</v>
      </c>
      <c r="H348" s="108">
        <v>41</v>
      </c>
      <c r="I348" s="108">
        <v>25.9</v>
      </c>
      <c r="J348" s="108">
        <v>45</v>
      </c>
      <c r="K348" s="108">
        <v>16</v>
      </c>
      <c r="L348" s="108">
        <v>49</v>
      </c>
      <c r="M348" s="108" t="s">
        <v>1655</v>
      </c>
      <c r="N348" s="108" t="s">
        <v>1656</v>
      </c>
    </row>
    <row r="349" spans="1:14">
      <c r="A349" s="108">
        <v>342</v>
      </c>
      <c r="B349" s="108" t="str">
        <f t="shared" si="75"/>
        <v>α leo</v>
      </c>
      <c r="C349" s="108">
        <f t="shared" si="76"/>
        <v>0</v>
      </c>
      <c r="F349" s="108" t="s">
        <v>1657</v>
      </c>
      <c r="G349" s="108">
        <v>19</v>
      </c>
      <c r="H349" s="108">
        <v>30</v>
      </c>
      <c r="I349" s="108">
        <v>43.3</v>
      </c>
      <c r="J349" s="108">
        <v>27</v>
      </c>
      <c r="K349" s="108">
        <v>57</v>
      </c>
      <c r="L349" s="108">
        <v>35</v>
      </c>
      <c r="M349" s="108" t="s">
        <v>1658</v>
      </c>
      <c r="N349" s="108" t="s">
        <v>1659</v>
      </c>
    </row>
    <row r="350" spans="1:14">
      <c r="A350" s="108">
        <v>343</v>
      </c>
      <c r="B350" s="108" t="str">
        <f t="shared" si="75"/>
        <v>α leo</v>
      </c>
      <c r="C350" s="108">
        <f t="shared" si="76"/>
        <v>0</v>
      </c>
      <c r="F350" s="108" t="s">
        <v>1660</v>
      </c>
      <c r="G350" s="108">
        <v>20</v>
      </c>
      <c r="H350" s="108">
        <v>22</v>
      </c>
      <c r="I350" s="108">
        <v>13.7</v>
      </c>
      <c r="J350" s="108">
        <v>40</v>
      </c>
      <c r="K350" s="108">
        <v>15</v>
      </c>
      <c r="L350" s="108">
        <v>24</v>
      </c>
      <c r="M350" s="108" t="s">
        <v>1661</v>
      </c>
      <c r="N350" s="108" t="s">
        <v>1662</v>
      </c>
    </row>
    <row r="351" spans="1:14">
      <c r="A351" s="108">
        <v>344</v>
      </c>
      <c r="B351" s="108" t="str">
        <f t="shared" si="75"/>
        <v>α leo</v>
      </c>
      <c r="C351" s="108">
        <f t="shared" si="76"/>
        <v>0</v>
      </c>
      <c r="F351" s="108" t="s">
        <v>1663</v>
      </c>
      <c r="G351" s="108">
        <v>19</v>
      </c>
      <c r="H351" s="108">
        <v>44</v>
      </c>
      <c r="I351" s="108">
        <v>58.5</v>
      </c>
      <c r="J351" s="108">
        <v>45</v>
      </c>
      <c r="K351" s="108">
        <v>7</v>
      </c>
      <c r="L351" s="108">
        <v>51</v>
      </c>
      <c r="M351" s="108" t="s">
        <v>1664</v>
      </c>
      <c r="N351" s="108" t="s">
        <v>1665</v>
      </c>
    </row>
    <row r="352" spans="1:14">
      <c r="A352" s="108">
        <v>345</v>
      </c>
      <c r="B352" s="108" t="str">
        <f t="shared" si="75"/>
        <v>α leo</v>
      </c>
      <c r="C352" s="108">
        <f t="shared" si="76"/>
        <v>0</v>
      </c>
      <c r="F352" s="108" t="s">
        <v>1666</v>
      </c>
      <c r="G352" s="108">
        <v>20</v>
      </c>
      <c r="H352" s="108">
        <v>46</v>
      </c>
      <c r="I352" s="108">
        <v>12.7</v>
      </c>
      <c r="J352" s="108">
        <v>33</v>
      </c>
      <c r="K352" s="108">
        <v>58</v>
      </c>
      <c r="L352" s="108">
        <v>13</v>
      </c>
      <c r="M352" s="108" t="s">
        <v>1667</v>
      </c>
      <c r="N352" s="108" t="s">
        <v>1668</v>
      </c>
    </row>
    <row r="353" spans="1:14">
      <c r="A353" s="108">
        <v>346</v>
      </c>
      <c r="B353" s="108" t="str">
        <f t="shared" si="75"/>
        <v>α leo</v>
      </c>
      <c r="C353" s="108">
        <f t="shared" si="76"/>
        <v>0</v>
      </c>
      <c r="F353" s="108" t="s">
        <v>1669</v>
      </c>
      <c r="G353" s="108">
        <v>21</v>
      </c>
      <c r="H353" s="108">
        <v>12</v>
      </c>
      <c r="I353" s="108">
        <v>56.2</v>
      </c>
      <c r="J353" s="108">
        <v>30</v>
      </c>
      <c r="K353" s="108">
        <v>13</v>
      </c>
      <c r="L353" s="108">
        <v>37</v>
      </c>
      <c r="M353" s="108" t="s">
        <v>1670</v>
      </c>
      <c r="N353" s="108" t="s">
        <v>1671</v>
      </c>
    </row>
    <row r="354" spans="1:14">
      <c r="A354" s="108">
        <v>347</v>
      </c>
      <c r="B354" s="108" t="str">
        <f t="shared" si="75"/>
        <v>α leo</v>
      </c>
      <c r="C354" s="108">
        <f t="shared" si="76"/>
        <v>0</v>
      </c>
      <c r="F354" s="108" t="s">
        <v>1672</v>
      </c>
      <c r="G354" s="108">
        <v>19</v>
      </c>
      <c r="H354" s="108">
        <v>56</v>
      </c>
      <c r="I354" s="108">
        <v>18.399999999999999</v>
      </c>
      <c r="J354" s="108">
        <v>35</v>
      </c>
      <c r="K354" s="108">
        <v>5</v>
      </c>
      <c r="L354" s="108">
        <v>0</v>
      </c>
      <c r="M354" s="108" t="s">
        <v>1673</v>
      </c>
      <c r="N354" s="108" t="s">
        <v>1674</v>
      </c>
    </row>
    <row r="355" spans="1:14">
      <c r="A355" s="108">
        <v>348</v>
      </c>
      <c r="B355" s="108" t="str">
        <f t="shared" si="75"/>
        <v>α leo</v>
      </c>
      <c r="C355" s="108">
        <f t="shared" si="76"/>
        <v>0</v>
      </c>
      <c r="F355" s="108" t="s">
        <v>1675</v>
      </c>
      <c r="G355" s="108">
        <v>19</v>
      </c>
      <c r="H355" s="108">
        <v>36</v>
      </c>
      <c r="I355" s="108">
        <v>26.5</v>
      </c>
      <c r="J355" s="108">
        <v>50</v>
      </c>
      <c r="K355" s="108">
        <v>13</v>
      </c>
      <c r="L355" s="108">
        <v>16</v>
      </c>
      <c r="M355" s="108" t="s">
        <v>1676</v>
      </c>
      <c r="N355" s="108" t="s">
        <v>1677</v>
      </c>
    </row>
    <row r="356" spans="1:14">
      <c r="A356" s="108">
        <v>349</v>
      </c>
      <c r="B356" s="108" t="str">
        <f t="shared" si="75"/>
        <v>α leo</v>
      </c>
      <c r="C356" s="108">
        <f t="shared" si="76"/>
        <v>0</v>
      </c>
      <c r="F356" s="108" t="s">
        <v>1678</v>
      </c>
      <c r="G356" s="108">
        <v>19</v>
      </c>
      <c r="H356" s="108">
        <v>29</v>
      </c>
      <c r="I356" s="108">
        <v>42.4</v>
      </c>
      <c r="J356" s="108">
        <v>51</v>
      </c>
      <c r="K356" s="108">
        <v>43</v>
      </c>
      <c r="L356" s="108">
        <v>47</v>
      </c>
      <c r="M356" s="108" t="s">
        <v>1679</v>
      </c>
      <c r="N356" s="108" t="s">
        <v>1680</v>
      </c>
    </row>
    <row r="357" spans="1:14">
      <c r="A357" s="108">
        <v>350</v>
      </c>
      <c r="B357" s="108" t="str">
        <f t="shared" si="75"/>
        <v>α leo</v>
      </c>
      <c r="C357" s="108">
        <f t="shared" si="76"/>
        <v>0</v>
      </c>
      <c r="F357" s="108" t="s">
        <v>1681</v>
      </c>
      <c r="G357" s="108">
        <v>19</v>
      </c>
      <c r="H357" s="108">
        <v>17</v>
      </c>
      <c r="I357" s="108">
        <v>6.2</v>
      </c>
      <c r="J357" s="108">
        <v>53</v>
      </c>
      <c r="K357" s="108">
        <v>22</v>
      </c>
      <c r="L357" s="108">
        <v>6</v>
      </c>
      <c r="M357" s="108" t="s">
        <v>1682</v>
      </c>
      <c r="N357" s="108" t="s">
        <v>1683</v>
      </c>
    </row>
    <row r="358" spans="1:14">
      <c r="A358" s="108">
        <v>351</v>
      </c>
      <c r="B358" s="108" t="str">
        <f t="shared" si="75"/>
        <v>α leo</v>
      </c>
      <c r="C358" s="108">
        <f t="shared" si="76"/>
        <v>0</v>
      </c>
      <c r="F358" s="108" t="s">
        <v>1684</v>
      </c>
      <c r="G358" s="108">
        <v>20</v>
      </c>
      <c r="H358" s="108">
        <v>57</v>
      </c>
      <c r="I358" s="108">
        <v>10.4</v>
      </c>
      <c r="J358" s="108">
        <v>41</v>
      </c>
      <c r="K358" s="108">
        <v>10</v>
      </c>
      <c r="L358" s="108">
        <v>2</v>
      </c>
      <c r="M358" s="108" t="s">
        <v>1685</v>
      </c>
      <c r="N358" s="108" t="s">
        <v>1686</v>
      </c>
    </row>
    <row r="359" spans="1:14">
      <c r="A359" s="108">
        <v>352</v>
      </c>
      <c r="B359" s="108" t="str">
        <f t="shared" si="75"/>
        <v>α leo</v>
      </c>
      <c r="C359" s="108">
        <f t="shared" si="76"/>
        <v>0</v>
      </c>
      <c r="F359" s="108" t="s">
        <v>1687</v>
      </c>
      <c r="G359" s="108">
        <v>21</v>
      </c>
      <c r="H359" s="108">
        <v>4</v>
      </c>
      <c r="I359" s="108">
        <v>55.9</v>
      </c>
      <c r="J359" s="108">
        <v>43</v>
      </c>
      <c r="K359" s="108">
        <v>55</v>
      </c>
      <c r="L359" s="108">
        <v>40</v>
      </c>
      <c r="M359" s="108" t="s">
        <v>1688</v>
      </c>
      <c r="N359" s="108" t="s">
        <v>1689</v>
      </c>
    </row>
    <row r="360" spans="1:14">
      <c r="A360" s="108">
        <v>353</v>
      </c>
      <c r="B360" s="108" t="str">
        <f t="shared" si="75"/>
        <v>α leo</v>
      </c>
      <c r="C360" s="108">
        <f t="shared" si="76"/>
        <v>0</v>
      </c>
      <c r="F360" s="108" t="s">
        <v>1690</v>
      </c>
      <c r="G360" s="108">
        <v>20</v>
      </c>
      <c r="H360" s="108">
        <v>13</v>
      </c>
      <c r="I360" s="108">
        <v>37.9</v>
      </c>
      <c r="J360" s="108">
        <v>46</v>
      </c>
      <c r="K360" s="108">
        <v>44</v>
      </c>
      <c r="L360" s="108">
        <v>29</v>
      </c>
      <c r="M360" s="108" t="s">
        <v>4012</v>
      </c>
      <c r="N360" s="108" t="s">
        <v>4013</v>
      </c>
    </row>
    <row r="361" spans="1:14">
      <c r="A361" s="108">
        <v>354</v>
      </c>
      <c r="B361" s="108" t="str">
        <f t="shared" si="75"/>
        <v>α leo</v>
      </c>
      <c r="C361" s="108">
        <f t="shared" si="76"/>
        <v>0</v>
      </c>
      <c r="F361" s="108" t="s">
        <v>1691</v>
      </c>
      <c r="G361" s="108">
        <v>20</v>
      </c>
      <c r="H361" s="108">
        <v>15</v>
      </c>
      <c r="I361" s="108">
        <v>28.3</v>
      </c>
      <c r="J361" s="108">
        <v>47</v>
      </c>
      <c r="K361" s="108">
        <v>42</v>
      </c>
      <c r="L361" s="108">
        <v>51</v>
      </c>
      <c r="M361" s="108" t="s">
        <v>4014</v>
      </c>
      <c r="N361" s="108" t="s">
        <v>4015</v>
      </c>
    </row>
    <row r="362" spans="1:14">
      <c r="A362" s="108">
        <v>355</v>
      </c>
      <c r="B362" s="108" t="str">
        <f t="shared" si="75"/>
        <v>α leo</v>
      </c>
      <c r="C362" s="108">
        <f t="shared" si="76"/>
        <v>0</v>
      </c>
      <c r="F362" s="108" t="s">
        <v>1692</v>
      </c>
      <c r="G362" s="108">
        <v>21</v>
      </c>
      <c r="H362" s="108">
        <v>17</v>
      </c>
      <c r="I362" s="108">
        <v>25</v>
      </c>
      <c r="J362" s="108">
        <v>39</v>
      </c>
      <c r="K362" s="108">
        <v>23</v>
      </c>
      <c r="L362" s="108">
        <v>41</v>
      </c>
      <c r="M362" s="108" t="s">
        <v>1693</v>
      </c>
      <c r="N362" s="108" t="s">
        <v>1694</v>
      </c>
    </row>
    <row r="363" spans="1:14">
      <c r="A363" s="108">
        <v>356</v>
      </c>
      <c r="B363" s="108" t="str">
        <f t="shared" si="75"/>
        <v>α leo</v>
      </c>
      <c r="C363" s="108">
        <f t="shared" si="76"/>
        <v>0</v>
      </c>
      <c r="F363" s="108" t="s">
        <v>1695</v>
      </c>
      <c r="G363" s="108">
        <v>21</v>
      </c>
      <c r="H363" s="108">
        <v>14</v>
      </c>
      <c r="I363" s="108">
        <v>47.5</v>
      </c>
      <c r="J363" s="108">
        <v>38</v>
      </c>
      <c r="K363" s="108">
        <v>2</v>
      </c>
      <c r="L363" s="108">
        <v>44</v>
      </c>
      <c r="M363" s="108" t="s">
        <v>1696</v>
      </c>
      <c r="N363" s="108" t="s">
        <v>1697</v>
      </c>
    </row>
    <row r="364" spans="1:14">
      <c r="A364" s="108">
        <v>357</v>
      </c>
      <c r="B364" s="108" t="str">
        <f t="shared" si="75"/>
        <v>α leo</v>
      </c>
      <c r="C364" s="108">
        <f t="shared" si="76"/>
        <v>0</v>
      </c>
      <c r="F364" s="108" t="s">
        <v>1698</v>
      </c>
      <c r="G364" s="108">
        <v>19</v>
      </c>
      <c r="H364" s="108">
        <v>39</v>
      </c>
      <c r="I364" s="108">
        <v>22.6</v>
      </c>
      <c r="J364" s="108">
        <v>30</v>
      </c>
      <c r="K364" s="108">
        <v>9</v>
      </c>
      <c r="L364" s="108">
        <v>12</v>
      </c>
      <c r="M364" s="108" t="s">
        <v>1699</v>
      </c>
      <c r="N364" s="108" t="s">
        <v>1700</v>
      </c>
    </row>
    <row r="365" spans="1:14">
      <c r="A365" s="108">
        <v>358</v>
      </c>
      <c r="B365" s="108" t="str">
        <f t="shared" si="75"/>
        <v>α leo</v>
      </c>
      <c r="C365" s="108">
        <f t="shared" si="76"/>
        <v>0</v>
      </c>
      <c r="F365" s="108" t="s">
        <v>409</v>
      </c>
      <c r="M365" s="108" t="s">
        <v>1701</v>
      </c>
      <c r="N365" s="108" t="s">
        <v>407</v>
      </c>
    </row>
    <row r="366" spans="1:14">
      <c r="A366" s="108">
        <v>359</v>
      </c>
      <c r="B366" s="108" t="str">
        <f t="shared" si="75"/>
        <v>α leo</v>
      </c>
      <c r="C366" s="108">
        <f t="shared" si="76"/>
        <v>0</v>
      </c>
      <c r="F366" s="108" t="s">
        <v>1702</v>
      </c>
      <c r="G366" s="108">
        <v>5</v>
      </c>
      <c r="H366" s="108">
        <v>32</v>
      </c>
      <c r="I366" s="108">
        <v>43.8</v>
      </c>
      <c r="J366" s="108">
        <v>-17</v>
      </c>
      <c r="K366" s="108">
        <v>-49</v>
      </c>
      <c r="L366" s="108">
        <v>-20</v>
      </c>
      <c r="M366" s="108" t="s">
        <v>1703</v>
      </c>
      <c r="N366" s="108" t="s">
        <v>1704</v>
      </c>
    </row>
    <row r="367" spans="1:14">
      <c r="A367" s="108">
        <v>360</v>
      </c>
      <c r="B367" s="108" t="str">
        <f t="shared" si="75"/>
        <v>α leo</v>
      </c>
      <c r="C367" s="108">
        <f t="shared" si="76"/>
        <v>0</v>
      </c>
      <c r="F367" s="108" t="s">
        <v>1705</v>
      </c>
      <c r="G367" s="108">
        <v>5</v>
      </c>
      <c r="H367" s="108">
        <v>28</v>
      </c>
      <c r="I367" s="108">
        <v>14.7</v>
      </c>
      <c r="J367" s="108">
        <v>-20</v>
      </c>
      <c r="K367" s="108">
        <v>-45</v>
      </c>
      <c r="L367" s="108">
        <v>-34</v>
      </c>
      <c r="M367" s="108" t="s">
        <v>1706</v>
      </c>
      <c r="N367" s="108" t="s">
        <v>1707</v>
      </c>
    </row>
    <row r="368" spans="1:14">
      <c r="A368" s="108">
        <v>361</v>
      </c>
      <c r="B368" s="108" t="str">
        <f t="shared" si="75"/>
        <v>α leo</v>
      </c>
      <c r="C368" s="108">
        <f t="shared" si="76"/>
        <v>0</v>
      </c>
      <c r="F368" s="108" t="s">
        <v>1708</v>
      </c>
      <c r="G368" s="108">
        <v>5</v>
      </c>
      <c r="H368" s="108">
        <v>44</v>
      </c>
      <c r="I368" s="108">
        <v>27.8</v>
      </c>
      <c r="J368" s="108">
        <v>-22</v>
      </c>
      <c r="K368" s="108">
        <v>-26</v>
      </c>
      <c r="L368" s="108">
        <v>-54</v>
      </c>
      <c r="M368" s="108" t="s">
        <v>1709</v>
      </c>
      <c r="N368" s="108" t="s">
        <v>1710</v>
      </c>
    </row>
    <row r="369" spans="1:14">
      <c r="A369" s="108">
        <v>362</v>
      </c>
      <c r="B369" s="108" t="str">
        <f t="shared" si="75"/>
        <v>α leo</v>
      </c>
      <c r="C369" s="108">
        <f t="shared" si="76"/>
        <v>0</v>
      </c>
      <c r="F369" s="108" t="s">
        <v>1711</v>
      </c>
      <c r="G369" s="108">
        <v>5</v>
      </c>
      <c r="H369" s="108">
        <v>51</v>
      </c>
      <c r="I369" s="108">
        <v>19.3</v>
      </c>
      <c r="J369" s="108">
        <v>-20</v>
      </c>
      <c r="K369" s="108">
        <v>-52</v>
      </c>
      <c r="L369" s="108">
        <v>-45</v>
      </c>
      <c r="M369" s="108" t="s">
        <v>1712</v>
      </c>
      <c r="N369" s="108" t="s">
        <v>1713</v>
      </c>
    </row>
    <row r="370" spans="1:14">
      <c r="A370" s="108">
        <v>363</v>
      </c>
      <c r="B370" s="108" t="str">
        <f t="shared" si="75"/>
        <v>α leo</v>
      </c>
      <c r="C370" s="108">
        <f t="shared" si="76"/>
        <v>0</v>
      </c>
      <c r="F370" s="108" t="s">
        <v>1714</v>
      </c>
      <c r="G370" s="108">
        <v>5</v>
      </c>
      <c r="H370" s="108">
        <v>5</v>
      </c>
      <c r="I370" s="108">
        <v>27.7</v>
      </c>
      <c r="J370" s="108">
        <v>-22</v>
      </c>
      <c r="K370" s="108">
        <v>-22</v>
      </c>
      <c r="L370" s="108">
        <v>-16</v>
      </c>
      <c r="M370" s="108" t="s">
        <v>1715</v>
      </c>
      <c r="N370" s="108" t="s">
        <v>1716</v>
      </c>
    </row>
    <row r="371" spans="1:14">
      <c r="A371" s="108">
        <v>364</v>
      </c>
      <c r="B371" s="108" t="str">
        <f t="shared" si="75"/>
        <v>α leo</v>
      </c>
      <c r="C371" s="108">
        <f t="shared" si="76"/>
        <v>0</v>
      </c>
      <c r="F371" s="108" t="s">
        <v>1717</v>
      </c>
      <c r="G371" s="108">
        <v>5</v>
      </c>
      <c r="H371" s="108">
        <v>46</v>
      </c>
      <c r="I371" s="108">
        <v>57.3</v>
      </c>
      <c r="J371" s="108">
        <v>-14</v>
      </c>
      <c r="K371" s="108">
        <v>-49</v>
      </c>
      <c r="L371" s="108">
        <v>-19</v>
      </c>
      <c r="M371" s="108" t="s">
        <v>1718</v>
      </c>
      <c r="N371" s="108" t="s">
        <v>1719</v>
      </c>
    </row>
    <row r="372" spans="1:14">
      <c r="A372" s="108">
        <v>365</v>
      </c>
      <c r="B372" s="108" t="str">
        <f t="shared" si="75"/>
        <v>α leo</v>
      </c>
      <c r="C372" s="108">
        <f t="shared" si="76"/>
        <v>0</v>
      </c>
      <c r="F372" s="108" t="s">
        <v>1720</v>
      </c>
      <c r="G372" s="108">
        <v>5</v>
      </c>
      <c r="H372" s="108">
        <v>56</v>
      </c>
      <c r="I372" s="108">
        <v>24.3</v>
      </c>
      <c r="J372" s="108">
        <v>-14</v>
      </c>
      <c r="K372" s="108">
        <v>-10</v>
      </c>
      <c r="L372" s="108">
        <v>-4</v>
      </c>
      <c r="M372" s="108" t="s">
        <v>1721</v>
      </c>
      <c r="N372" s="108" t="s">
        <v>1722</v>
      </c>
    </row>
    <row r="373" spans="1:14">
      <c r="A373" s="108">
        <v>366</v>
      </c>
      <c r="B373" s="108" t="str">
        <f t="shared" si="75"/>
        <v>α leo</v>
      </c>
      <c r="C373" s="108">
        <f t="shared" si="76"/>
        <v>0</v>
      </c>
      <c r="F373" s="108" t="s">
        <v>1723</v>
      </c>
      <c r="G373" s="108">
        <v>5</v>
      </c>
      <c r="H373" s="108">
        <v>12</v>
      </c>
      <c r="I373" s="108">
        <v>55.9</v>
      </c>
      <c r="J373" s="108">
        <v>-16</v>
      </c>
      <c r="K373" s="108">
        <v>-12</v>
      </c>
      <c r="L373" s="108">
        <v>-20</v>
      </c>
      <c r="M373" s="108" t="s">
        <v>1724</v>
      </c>
      <c r="N373" s="108" t="s">
        <v>1725</v>
      </c>
    </row>
    <row r="374" spans="1:14">
      <c r="A374" s="108">
        <v>367</v>
      </c>
      <c r="B374" s="108" t="str">
        <f t="shared" si="75"/>
        <v>α leo</v>
      </c>
      <c r="C374" s="108">
        <f t="shared" si="76"/>
        <v>0</v>
      </c>
      <c r="F374" s="108" t="s">
        <v>388</v>
      </c>
      <c r="M374" s="108" t="s">
        <v>1726</v>
      </c>
      <c r="N374" s="108" t="s">
        <v>388</v>
      </c>
    </row>
    <row r="375" spans="1:14">
      <c r="A375" s="108">
        <v>368</v>
      </c>
      <c r="B375" s="108">
        <f t="shared" si="75"/>
        <v>368</v>
      </c>
      <c r="C375" s="108">
        <f t="shared" si="76"/>
        <v>0</v>
      </c>
      <c r="F375" s="108" t="s">
        <v>1727</v>
      </c>
      <c r="G375" s="108">
        <v>10</v>
      </c>
      <c r="H375" s="108">
        <v>8</v>
      </c>
      <c r="I375" s="108">
        <v>22.3</v>
      </c>
      <c r="J375" s="108">
        <v>11</v>
      </c>
      <c r="K375" s="108">
        <v>58</v>
      </c>
      <c r="L375" s="108">
        <v>2</v>
      </c>
      <c r="M375" s="108" t="s">
        <v>1728</v>
      </c>
      <c r="N375" s="108" t="s">
        <v>1729</v>
      </c>
    </row>
    <row r="376" spans="1:14">
      <c r="A376" s="108">
        <v>369</v>
      </c>
      <c r="B376" s="108">
        <f t="shared" si="75"/>
        <v>368</v>
      </c>
      <c r="C376" s="108">
        <f t="shared" si="76"/>
        <v>0</v>
      </c>
      <c r="F376" s="108" t="s">
        <v>1730</v>
      </c>
      <c r="G376" s="108">
        <v>11</v>
      </c>
      <c r="H376" s="108">
        <v>49</v>
      </c>
      <c r="I376" s="108">
        <v>3.6</v>
      </c>
      <c r="J376" s="108">
        <v>14</v>
      </c>
      <c r="K376" s="108">
        <v>34</v>
      </c>
      <c r="L376" s="108">
        <v>19</v>
      </c>
      <c r="M376" s="108" t="s">
        <v>1731</v>
      </c>
      <c r="N376" s="108" t="s">
        <v>1730</v>
      </c>
    </row>
    <row r="377" spans="1:14">
      <c r="A377" s="108">
        <v>370</v>
      </c>
      <c r="B377" s="108">
        <f t="shared" si="75"/>
        <v>368</v>
      </c>
      <c r="C377" s="108">
        <f t="shared" si="76"/>
        <v>0</v>
      </c>
      <c r="F377" s="108" t="s">
        <v>1732</v>
      </c>
      <c r="G377" s="108">
        <v>10</v>
      </c>
      <c r="H377" s="108">
        <v>19</v>
      </c>
      <c r="I377" s="108">
        <v>58.4</v>
      </c>
      <c r="J377" s="108">
        <v>19</v>
      </c>
      <c r="K377" s="108">
        <v>50</v>
      </c>
      <c r="L377" s="108">
        <v>29</v>
      </c>
      <c r="M377" s="108" t="s">
        <v>1733</v>
      </c>
      <c r="N377" s="108" t="s">
        <v>1734</v>
      </c>
    </row>
    <row r="378" spans="1:14">
      <c r="A378" s="108">
        <v>371</v>
      </c>
      <c r="B378" s="108">
        <f t="shared" si="75"/>
        <v>368</v>
      </c>
      <c r="C378" s="108">
        <f t="shared" si="76"/>
        <v>0</v>
      </c>
      <c r="F378" s="108" t="s">
        <v>1735</v>
      </c>
      <c r="G378" s="108">
        <v>11</v>
      </c>
      <c r="H378" s="108">
        <v>14</v>
      </c>
      <c r="I378" s="108">
        <v>6.6</v>
      </c>
      <c r="J378" s="108">
        <v>20</v>
      </c>
      <c r="K378" s="108">
        <v>31</v>
      </c>
      <c r="L378" s="108">
        <v>25</v>
      </c>
      <c r="M378" s="108" t="s">
        <v>1736</v>
      </c>
      <c r="N378" s="108" t="s">
        <v>1735</v>
      </c>
    </row>
    <row r="379" spans="1:14">
      <c r="A379" s="108">
        <v>372</v>
      </c>
      <c r="B379" s="108">
        <f t="shared" si="75"/>
        <v>368</v>
      </c>
      <c r="C379" s="108">
        <f t="shared" si="76"/>
        <v>0</v>
      </c>
      <c r="F379" s="108" t="s">
        <v>1737</v>
      </c>
      <c r="G379" s="108">
        <v>9</v>
      </c>
      <c r="H379" s="108">
        <v>45</v>
      </c>
      <c r="I379" s="108">
        <v>51.1</v>
      </c>
      <c r="J379" s="108">
        <v>23</v>
      </c>
      <c r="K379" s="108">
        <v>46</v>
      </c>
      <c r="L379" s="108">
        <v>27</v>
      </c>
      <c r="M379" s="108" t="s">
        <v>1738</v>
      </c>
      <c r="N379" s="108" t="s">
        <v>1737</v>
      </c>
    </row>
    <row r="380" spans="1:14">
      <c r="A380" s="108">
        <v>373</v>
      </c>
      <c r="B380" s="108">
        <f t="shared" si="75"/>
        <v>368</v>
      </c>
      <c r="C380" s="108">
        <f t="shared" si="76"/>
        <v>0</v>
      </c>
      <c r="F380" s="108" t="s">
        <v>1739</v>
      </c>
      <c r="G380" s="108">
        <v>10</v>
      </c>
      <c r="H380" s="108">
        <v>16</v>
      </c>
      <c r="I380" s="108">
        <v>41.4</v>
      </c>
      <c r="J380" s="108">
        <v>23</v>
      </c>
      <c r="K380" s="108">
        <v>25</v>
      </c>
      <c r="L380" s="108">
        <v>2</v>
      </c>
      <c r="M380" s="108" t="s">
        <v>1740</v>
      </c>
      <c r="N380" s="108" t="s">
        <v>1739</v>
      </c>
    </row>
    <row r="381" spans="1:14">
      <c r="A381" s="108">
        <v>374</v>
      </c>
      <c r="B381" s="108">
        <f t="shared" si="75"/>
        <v>368</v>
      </c>
      <c r="C381" s="108">
        <f t="shared" si="76"/>
        <v>0</v>
      </c>
      <c r="F381" s="108" t="s">
        <v>1741</v>
      </c>
      <c r="G381" s="108">
        <v>10</v>
      </c>
      <c r="H381" s="108">
        <v>7</v>
      </c>
      <c r="I381" s="108">
        <v>20</v>
      </c>
      <c r="J381" s="108">
        <v>16</v>
      </c>
      <c r="K381" s="108">
        <v>45</v>
      </c>
      <c r="L381" s="108">
        <v>46</v>
      </c>
      <c r="M381" s="108" t="s">
        <v>1742</v>
      </c>
      <c r="N381" s="108" t="s">
        <v>1741</v>
      </c>
    </row>
    <row r="382" spans="1:14">
      <c r="A382" s="108">
        <v>375</v>
      </c>
      <c r="B382" s="108">
        <f t="shared" si="75"/>
        <v>368</v>
      </c>
      <c r="C382" s="108">
        <f t="shared" si="76"/>
        <v>0</v>
      </c>
      <c r="F382" s="108" t="s">
        <v>1743</v>
      </c>
      <c r="G382" s="108">
        <v>11</v>
      </c>
      <c r="H382" s="108">
        <v>14</v>
      </c>
      <c r="I382" s="108">
        <v>14.4</v>
      </c>
      <c r="J382" s="108">
        <v>15</v>
      </c>
      <c r="K382" s="108">
        <v>25</v>
      </c>
      <c r="L382" s="108">
        <v>46</v>
      </c>
      <c r="M382" s="108" t="s">
        <v>1744</v>
      </c>
      <c r="N382" s="108" t="s">
        <v>1743</v>
      </c>
    </row>
    <row r="383" spans="1:14">
      <c r="A383" s="108">
        <v>376</v>
      </c>
      <c r="B383" s="108">
        <f t="shared" si="75"/>
        <v>368</v>
      </c>
      <c r="C383" s="108">
        <f t="shared" si="76"/>
        <v>0</v>
      </c>
      <c r="F383" s="108" t="s">
        <v>1745</v>
      </c>
      <c r="G383" s="108">
        <v>11</v>
      </c>
      <c r="H383" s="108">
        <v>23</v>
      </c>
      <c r="I383" s="108">
        <v>55.5</v>
      </c>
      <c r="J383" s="108">
        <v>10</v>
      </c>
      <c r="K383" s="108">
        <v>31</v>
      </c>
      <c r="L383" s="108">
        <v>46</v>
      </c>
      <c r="M383" s="108" t="s">
        <v>1746</v>
      </c>
      <c r="N383" s="108" t="s">
        <v>1745</v>
      </c>
    </row>
    <row r="384" spans="1:14">
      <c r="A384" s="108">
        <v>377</v>
      </c>
      <c r="B384" s="108">
        <f t="shared" si="75"/>
        <v>368</v>
      </c>
      <c r="C384" s="108">
        <f t="shared" si="76"/>
        <v>0</v>
      </c>
      <c r="F384" s="108" t="s">
        <v>1747</v>
      </c>
      <c r="G384" s="108">
        <v>9</v>
      </c>
      <c r="H384" s="108">
        <v>24</v>
      </c>
      <c r="I384" s="108">
        <v>39.200000000000003</v>
      </c>
      <c r="J384" s="108">
        <v>26</v>
      </c>
      <c r="K384" s="108">
        <v>10</v>
      </c>
      <c r="L384" s="108">
        <v>56</v>
      </c>
      <c r="M384" s="108" t="s">
        <v>1748</v>
      </c>
      <c r="N384" s="108" t="s">
        <v>1749</v>
      </c>
    </row>
    <row r="385" spans="1:14">
      <c r="A385" s="108">
        <v>378</v>
      </c>
      <c r="B385" s="108">
        <f t="shared" si="75"/>
        <v>368</v>
      </c>
      <c r="C385" s="108">
        <f t="shared" si="76"/>
        <v>0</v>
      </c>
      <c r="F385" s="108" t="s">
        <v>1750</v>
      </c>
      <c r="G385" s="108">
        <v>9</v>
      </c>
      <c r="H385" s="108">
        <v>31</v>
      </c>
      <c r="I385" s="108">
        <v>43.2</v>
      </c>
      <c r="J385" s="108">
        <v>22</v>
      </c>
      <c r="K385" s="108">
        <v>58</v>
      </c>
      <c r="L385" s="108">
        <v>5</v>
      </c>
      <c r="M385" s="108" t="s">
        <v>1751</v>
      </c>
      <c r="N385" s="108" t="s">
        <v>1750</v>
      </c>
    </row>
    <row r="386" spans="1:14">
      <c r="A386" s="108">
        <v>379</v>
      </c>
      <c r="B386" s="108">
        <f t="shared" si="75"/>
        <v>368</v>
      </c>
      <c r="C386" s="108">
        <f t="shared" si="76"/>
        <v>0</v>
      </c>
      <c r="F386" s="108" t="s">
        <v>1752</v>
      </c>
      <c r="G386" s="108">
        <v>9</v>
      </c>
      <c r="H386" s="108">
        <v>52</v>
      </c>
      <c r="I386" s="108">
        <v>45.8</v>
      </c>
      <c r="J386" s="108">
        <v>26</v>
      </c>
      <c r="K386" s="108">
        <v>0</v>
      </c>
      <c r="L386" s="108">
        <v>25</v>
      </c>
      <c r="M386" s="108" t="s">
        <v>1753</v>
      </c>
      <c r="N386" s="108" t="s">
        <v>1752</v>
      </c>
    </row>
    <row r="387" spans="1:14">
      <c r="A387" s="108">
        <v>380</v>
      </c>
      <c r="B387" s="108">
        <f t="shared" si="75"/>
        <v>368</v>
      </c>
      <c r="C387" s="108">
        <f t="shared" si="76"/>
        <v>0</v>
      </c>
      <c r="F387" s="108" t="s">
        <v>1754</v>
      </c>
      <c r="G387" s="108">
        <v>9</v>
      </c>
      <c r="H387" s="108">
        <v>58</v>
      </c>
      <c r="I387" s="108">
        <v>13.4</v>
      </c>
      <c r="J387" s="108">
        <v>12</v>
      </c>
      <c r="K387" s="108">
        <v>26</v>
      </c>
      <c r="L387" s="108">
        <v>41</v>
      </c>
      <c r="M387" s="108" t="s">
        <v>1755</v>
      </c>
      <c r="N387" s="108" t="s">
        <v>1754</v>
      </c>
    </row>
    <row r="388" spans="1:14">
      <c r="A388" s="108">
        <v>381</v>
      </c>
      <c r="B388" s="108">
        <f t="shared" si="75"/>
        <v>368</v>
      </c>
      <c r="C388" s="108">
        <f t="shared" si="76"/>
        <v>0</v>
      </c>
      <c r="F388" s="108" t="s">
        <v>1756</v>
      </c>
      <c r="G388" s="108">
        <v>10</v>
      </c>
      <c r="H388" s="108">
        <v>32</v>
      </c>
      <c r="I388" s="108">
        <v>48.7</v>
      </c>
      <c r="J388" s="108">
        <v>9</v>
      </c>
      <c r="K388" s="108">
        <v>18</v>
      </c>
      <c r="L388" s="108">
        <v>24</v>
      </c>
      <c r="M388" s="108" t="s">
        <v>1757</v>
      </c>
      <c r="N388" s="108" t="s">
        <v>1756</v>
      </c>
    </row>
    <row r="389" spans="1:14">
      <c r="A389" s="108">
        <v>382</v>
      </c>
      <c r="B389" s="108">
        <f t="shared" si="75"/>
        <v>368</v>
      </c>
      <c r="C389" s="108">
        <f t="shared" si="76"/>
        <v>0</v>
      </c>
      <c r="F389" s="108" t="s">
        <v>1758</v>
      </c>
      <c r="G389" s="108">
        <v>11</v>
      </c>
      <c r="H389" s="108">
        <v>21</v>
      </c>
      <c r="I389" s="108">
        <v>8.1999999999999993</v>
      </c>
      <c r="J389" s="108">
        <v>6</v>
      </c>
      <c r="K389" s="108">
        <v>1</v>
      </c>
      <c r="L389" s="108">
        <v>46</v>
      </c>
      <c r="M389" s="108" t="s">
        <v>1759</v>
      </c>
      <c r="N389" s="108" t="s">
        <v>1758</v>
      </c>
    </row>
    <row r="390" spans="1:14">
      <c r="A390" s="108">
        <v>383</v>
      </c>
      <c r="B390" s="108">
        <f t="shared" ref="B390:B453" si="77">IF(B389=F390,A390,B389)</f>
        <v>368</v>
      </c>
      <c r="C390" s="108">
        <f t="shared" ref="C390:C453" si="78" xml:space="preserve"> IF(C389=F390,A390,C389)</f>
        <v>0</v>
      </c>
      <c r="F390" s="108" t="s">
        <v>1760</v>
      </c>
      <c r="G390" s="108">
        <v>11</v>
      </c>
      <c r="H390" s="108">
        <v>16</v>
      </c>
      <c r="I390" s="108">
        <v>39.700000000000003</v>
      </c>
      <c r="J390" s="108">
        <v>-3</v>
      </c>
      <c r="K390" s="108">
        <v>-39</v>
      </c>
      <c r="L390" s="108">
        <v>-6</v>
      </c>
      <c r="M390" s="108" t="s">
        <v>1761</v>
      </c>
      <c r="N390" s="108" t="s">
        <v>1762</v>
      </c>
    </row>
    <row r="391" spans="1:14">
      <c r="A391" s="108">
        <v>384</v>
      </c>
      <c r="B391" s="108">
        <f t="shared" si="77"/>
        <v>368</v>
      </c>
      <c r="C391" s="108">
        <f t="shared" si="78"/>
        <v>0</v>
      </c>
      <c r="F391" s="108" t="s">
        <v>398</v>
      </c>
      <c r="M391" s="108" t="s">
        <v>1763</v>
      </c>
      <c r="N391" s="108" t="s">
        <v>396</v>
      </c>
    </row>
    <row r="392" spans="1:14">
      <c r="A392" s="108">
        <v>385</v>
      </c>
      <c r="B392" s="108">
        <f t="shared" si="77"/>
        <v>368</v>
      </c>
      <c r="C392" s="108">
        <f t="shared" si="78"/>
        <v>0</v>
      </c>
      <c r="F392" s="108" t="s">
        <v>1764</v>
      </c>
      <c r="G392" s="108">
        <v>9</v>
      </c>
      <c r="H392" s="108">
        <v>34</v>
      </c>
      <c r="I392" s="108">
        <v>13.4</v>
      </c>
      <c r="J392" s="108">
        <v>36</v>
      </c>
      <c r="K392" s="108">
        <v>23</v>
      </c>
      <c r="L392" s="108">
        <v>51</v>
      </c>
      <c r="M392" s="108" t="s">
        <v>1765</v>
      </c>
      <c r="N392" s="108" t="s">
        <v>1766</v>
      </c>
    </row>
    <row r="393" spans="1:14">
      <c r="A393" s="108">
        <v>386</v>
      </c>
      <c r="B393" s="108">
        <f t="shared" si="77"/>
        <v>368</v>
      </c>
      <c r="C393" s="108">
        <f t="shared" si="78"/>
        <v>0</v>
      </c>
      <c r="F393" s="108" t="s">
        <v>1767</v>
      </c>
      <c r="G393" s="108">
        <v>10</v>
      </c>
      <c r="H393" s="108">
        <v>7</v>
      </c>
      <c r="I393" s="108">
        <v>25.8</v>
      </c>
      <c r="J393" s="108">
        <v>35</v>
      </c>
      <c r="K393" s="108">
        <v>14</v>
      </c>
      <c r="L393" s="108">
        <v>41</v>
      </c>
      <c r="M393" s="108" t="s">
        <v>1768</v>
      </c>
      <c r="N393" s="108" t="s">
        <v>1769</v>
      </c>
    </row>
    <row r="394" spans="1:14">
      <c r="A394" s="108">
        <v>387</v>
      </c>
      <c r="B394" s="108">
        <f t="shared" si="77"/>
        <v>368</v>
      </c>
      <c r="C394" s="108">
        <f t="shared" si="78"/>
        <v>0</v>
      </c>
      <c r="F394" s="108" t="s">
        <v>1770</v>
      </c>
      <c r="G394" s="108">
        <v>10</v>
      </c>
      <c r="H394" s="108">
        <v>43</v>
      </c>
      <c r="I394" s="108">
        <v>25</v>
      </c>
      <c r="J394" s="108">
        <v>23</v>
      </c>
      <c r="K394" s="108">
        <v>11</v>
      </c>
      <c r="L394" s="108">
        <v>18</v>
      </c>
      <c r="M394" s="108" t="s">
        <v>1771</v>
      </c>
      <c r="N394" s="108" t="s">
        <v>1772</v>
      </c>
    </row>
    <row r="395" spans="1:14">
      <c r="A395" s="108">
        <v>388</v>
      </c>
      <c r="B395" s="108">
        <f t="shared" si="77"/>
        <v>368</v>
      </c>
      <c r="C395" s="108">
        <f t="shared" si="78"/>
        <v>0</v>
      </c>
      <c r="F395" s="108" t="s">
        <v>1773</v>
      </c>
      <c r="G395" s="108">
        <v>10</v>
      </c>
      <c r="H395" s="108">
        <v>53</v>
      </c>
      <c r="I395" s="108">
        <v>18.7</v>
      </c>
      <c r="J395" s="108">
        <v>34</v>
      </c>
      <c r="K395" s="108">
        <v>12</v>
      </c>
      <c r="L395" s="108">
        <v>54</v>
      </c>
      <c r="M395" s="108" t="s">
        <v>1774</v>
      </c>
      <c r="N395" s="108" t="s">
        <v>1775</v>
      </c>
    </row>
    <row r="396" spans="1:14">
      <c r="A396" s="108">
        <v>389</v>
      </c>
      <c r="B396" s="108">
        <f t="shared" si="77"/>
        <v>368</v>
      </c>
      <c r="C396" s="108">
        <f t="shared" si="78"/>
        <v>0</v>
      </c>
      <c r="F396" s="108" t="s">
        <v>1776</v>
      </c>
      <c r="G396" s="108">
        <v>10</v>
      </c>
      <c r="H396" s="108">
        <v>27</v>
      </c>
      <c r="I396" s="108">
        <v>53</v>
      </c>
      <c r="J396" s="108">
        <v>36</v>
      </c>
      <c r="K396" s="108">
        <v>42</v>
      </c>
      <c r="L396" s="108">
        <v>26</v>
      </c>
      <c r="M396" s="108" t="s">
        <v>1777</v>
      </c>
      <c r="N396" s="108" t="s">
        <v>1778</v>
      </c>
    </row>
    <row r="397" spans="1:14">
      <c r="A397" s="108">
        <v>390</v>
      </c>
      <c r="B397" s="108">
        <f t="shared" si="77"/>
        <v>368</v>
      </c>
      <c r="C397" s="108">
        <f t="shared" si="78"/>
        <v>0</v>
      </c>
      <c r="F397" s="108" t="s">
        <v>438</v>
      </c>
      <c r="M397" s="108" t="s">
        <v>1779</v>
      </c>
      <c r="N397" s="108" t="s">
        <v>436</v>
      </c>
    </row>
    <row r="398" spans="1:14">
      <c r="A398" s="108">
        <v>391</v>
      </c>
      <c r="B398" s="108">
        <f t="shared" si="77"/>
        <v>368</v>
      </c>
      <c r="C398" s="108">
        <f t="shared" si="78"/>
        <v>0</v>
      </c>
      <c r="F398" s="108" t="s">
        <v>1780</v>
      </c>
      <c r="G398" s="108">
        <v>9</v>
      </c>
      <c r="H398" s="108">
        <v>21</v>
      </c>
      <c r="I398" s="108">
        <v>3.3</v>
      </c>
      <c r="J398" s="108">
        <v>34</v>
      </c>
      <c r="K398" s="108">
        <v>23</v>
      </c>
      <c r="L398" s="108">
        <v>33</v>
      </c>
      <c r="M398" s="108" t="s">
        <v>1781</v>
      </c>
      <c r="N398" s="108" t="s">
        <v>1782</v>
      </c>
    </row>
    <row r="399" spans="1:14">
      <c r="A399" s="108">
        <v>392</v>
      </c>
      <c r="B399" s="108">
        <f t="shared" si="77"/>
        <v>368</v>
      </c>
      <c r="C399" s="108">
        <f t="shared" si="78"/>
        <v>0</v>
      </c>
      <c r="F399" s="108" t="s">
        <v>428</v>
      </c>
      <c r="M399" s="108" t="s">
        <v>1783</v>
      </c>
      <c r="N399" s="108" t="s">
        <v>427</v>
      </c>
    </row>
    <row r="400" spans="1:14">
      <c r="A400" s="108">
        <v>393</v>
      </c>
      <c r="B400" s="108">
        <f t="shared" si="77"/>
        <v>368</v>
      </c>
      <c r="C400" s="108">
        <f t="shared" si="78"/>
        <v>0</v>
      </c>
      <c r="F400" s="108" t="s">
        <v>449</v>
      </c>
      <c r="M400" s="108" t="s">
        <v>1784</v>
      </c>
      <c r="N400" s="108" t="s">
        <v>448</v>
      </c>
    </row>
    <row r="401" spans="1:14">
      <c r="A401" s="108">
        <v>394</v>
      </c>
      <c r="B401" s="108">
        <f t="shared" si="77"/>
        <v>368</v>
      </c>
      <c r="C401" s="108">
        <f t="shared" si="78"/>
        <v>0</v>
      </c>
      <c r="F401" s="108" t="s">
        <v>1785</v>
      </c>
      <c r="G401" s="108">
        <v>18</v>
      </c>
      <c r="H401" s="108">
        <v>36</v>
      </c>
      <c r="I401" s="108">
        <v>56.3</v>
      </c>
      <c r="J401" s="108">
        <v>38</v>
      </c>
      <c r="K401" s="108">
        <v>47</v>
      </c>
      <c r="L401" s="108">
        <v>1</v>
      </c>
      <c r="M401" s="108" t="s">
        <v>1786</v>
      </c>
      <c r="N401" s="108" t="s">
        <v>1787</v>
      </c>
    </row>
    <row r="402" spans="1:14">
      <c r="A402" s="108">
        <v>395</v>
      </c>
      <c r="B402" s="108">
        <f t="shared" si="77"/>
        <v>368</v>
      </c>
      <c r="C402" s="108">
        <f t="shared" si="78"/>
        <v>0</v>
      </c>
      <c r="F402" s="108" t="s">
        <v>1788</v>
      </c>
      <c r="G402" s="108">
        <v>18</v>
      </c>
      <c r="H402" s="108">
        <v>50</v>
      </c>
      <c r="I402" s="108">
        <v>4.8</v>
      </c>
      <c r="J402" s="108">
        <v>33</v>
      </c>
      <c r="K402" s="108">
        <v>21</v>
      </c>
      <c r="L402" s="108">
        <v>46</v>
      </c>
      <c r="M402" s="108" t="s">
        <v>1789</v>
      </c>
      <c r="N402" s="108" t="s">
        <v>1790</v>
      </c>
    </row>
    <row r="403" spans="1:14">
      <c r="A403" s="108">
        <v>396</v>
      </c>
      <c r="B403" s="108">
        <f t="shared" si="77"/>
        <v>368</v>
      </c>
      <c r="C403" s="108">
        <f t="shared" si="78"/>
        <v>0</v>
      </c>
      <c r="F403" s="108" t="s">
        <v>1791</v>
      </c>
      <c r="G403" s="108">
        <v>18</v>
      </c>
      <c r="H403" s="108">
        <v>58</v>
      </c>
      <c r="I403" s="108">
        <v>55.6</v>
      </c>
      <c r="J403" s="108">
        <v>32</v>
      </c>
      <c r="K403" s="108">
        <v>41</v>
      </c>
      <c r="L403" s="108">
        <v>22</v>
      </c>
      <c r="M403" s="108" t="s">
        <v>1792</v>
      </c>
      <c r="N403" s="108" t="s">
        <v>1793</v>
      </c>
    </row>
    <row r="404" spans="1:14">
      <c r="A404" s="108">
        <v>397</v>
      </c>
      <c r="B404" s="108">
        <f t="shared" si="77"/>
        <v>368</v>
      </c>
      <c r="C404" s="108">
        <f t="shared" si="78"/>
        <v>0</v>
      </c>
      <c r="F404" s="108" t="s">
        <v>3865</v>
      </c>
      <c r="G404" s="108">
        <v>18</v>
      </c>
      <c r="H404" s="108">
        <v>54</v>
      </c>
      <c r="I404" s="108">
        <v>30.3</v>
      </c>
      <c r="J404" s="108">
        <v>36</v>
      </c>
      <c r="K404" s="108">
        <v>53</v>
      </c>
      <c r="L404" s="108">
        <v>55</v>
      </c>
      <c r="M404" s="108" t="s">
        <v>1795</v>
      </c>
      <c r="N404" s="108" t="s">
        <v>1796</v>
      </c>
    </row>
    <row r="405" spans="1:14">
      <c r="A405" s="108">
        <v>398</v>
      </c>
      <c r="B405" s="108">
        <f t="shared" si="77"/>
        <v>368</v>
      </c>
      <c r="C405" s="108">
        <f t="shared" si="78"/>
        <v>0</v>
      </c>
      <c r="F405" s="108" t="s">
        <v>1797</v>
      </c>
      <c r="G405" s="108">
        <v>18</v>
      </c>
      <c r="H405" s="108">
        <v>44</v>
      </c>
      <c r="I405" s="108">
        <v>20.3</v>
      </c>
      <c r="J405" s="108">
        <v>39</v>
      </c>
      <c r="K405" s="108">
        <v>40</v>
      </c>
      <c r="L405" s="108">
        <v>12</v>
      </c>
      <c r="M405" s="108" t="s">
        <v>1798</v>
      </c>
      <c r="N405" s="108" t="s">
        <v>1799</v>
      </c>
    </row>
    <row r="406" spans="1:14">
      <c r="A406" s="108">
        <v>399</v>
      </c>
      <c r="B406" s="108">
        <f t="shared" si="77"/>
        <v>368</v>
      </c>
      <c r="C406" s="108">
        <f t="shared" si="78"/>
        <v>0</v>
      </c>
      <c r="F406" s="108" t="s">
        <v>1800</v>
      </c>
      <c r="G406" s="108">
        <v>18</v>
      </c>
      <c r="H406" s="108">
        <v>44</v>
      </c>
      <c r="I406" s="108">
        <v>46.4</v>
      </c>
      <c r="J406" s="108">
        <v>37</v>
      </c>
      <c r="K406" s="108">
        <v>36</v>
      </c>
      <c r="L406" s="108">
        <v>16</v>
      </c>
      <c r="M406" s="108" t="s">
        <v>1801</v>
      </c>
      <c r="N406" s="108" t="s">
        <v>1802</v>
      </c>
    </row>
    <row r="407" spans="1:14">
      <c r="A407" s="108">
        <v>400</v>
      </c>
      <c r="B407" s="108">
        <f t="shared" si="77"/>
        <v>368</v>
      </c>
      <c r="C407" s="108">
        <f t="shared" si="78"/>
        <v>0</v>
      </c>
      <c r="F407" s="108" t="s">
        <v>1803</v>
      </c>
      <c r="G407" s="108">
        <v>19</v>
      </c>
      <c r="H407" s="108">
        <v>13</v>
      </c>
      <c r="I407" s="108">
        <v>45.5</v>
      </c>
      <c r="J407" s="108">
        <v>39</v>
      </c>
      <c r="K407" s="108">
        <v>8</v>
      </c>
      <c r="L407" s="108">
        <v>45</v>
      </c>
      <c r="M407" s="108" t="s">
        <v>1804</v>
      </c>
      <c r="N407" s="108" t="s">
        <v>1805</v>
      </c>
    </row>
    <row r="408" spans="1:14">
      <c r="A408" s="108">
        <v>401</v>
      </c>
      <c r="B408" s="108">
        <f t="shared" si="77"/>
        <v>368</v>
      </c>
      <c r="C408" s="108">
        <f t="shared" si="78"/>
        <v>0</v>
      </c>
      <c r="F408" s="108" t="s">
        <v>1806</v>
      </c>
      <c r="G408" s="108">
        <v>19</v>
      </c>
      <c r="H408" s="108">
        <v>16</v>
      </c>
      <c r="I408" s="108">
        <v>22.1</v>
      </c>
      <c r="J408" s="108">
        <v>38</v>
      </c>
      <c r="K408" s="108">
        <v>8</v>
      </c>
      <c r="L408" s="108">
        <v>1</v>
      </c>
      <c r="M408" s="108" t="s">
        <v>1807</v>
      </c>
      <c r="N408" s="108" t="s">
        <v>1808</v>
      </c>
    </row>
    <row r="409" spans="1:14">
      <c r="A409" s="108">
        <v>402</v>
      </c>
      <c r="B409" s="108">
        <f t="shared" si="77"/>
        <v>368</v>
      </c>
      <c r="C409" s="108">
        <f t="shared" si="78"/>
        <v>0</v>
      </c>
      <c r="F409" s="108" t="s">
        <v>658</v>
      </c>
      <c r="M409" s="108" t="s">
        <v>1061</v>
      </c>
      <c r="N409" s="108" t="s">
        <v>1809</v>
      </c>
    </row>
    <row r="410" spans="1:14">
      <c r="A410" s="108">
        <v>403</v>
      </c>
      <c r="B410" s="108">
        <f t="shared" si="77"/>
        <v>368</v>
      </c>
      <c r="C410" s="108">
        <f t="shared" si="78"/>
        <v>0</v>
      </c>
      <c r="F410" s="108" t="s">
        <v>1810</v>
      </c>
      <c r="G410" s="108">
        <v>5</v>
      </c>
      <c r="H410" s="108">
        <v>34</v>
      </c>
      <c r="I410" s="108">
        <v>31.9</v>
      </c>
      <c r="J410" s="108">
        <v>22</v>
      </c>
      <c r="K410" s="108">
        <v>0</v>
      </c>
      <c r="L410" s="108">
        <v>52</v>
      </c>
      <c r="M410" s="108" t="s">
        <v>1811</v>
      </c>
      <c r="N410" s="108" t="s">
        <v>1812</v>
      </c>
    </row>
    <row r="411" spans="1:14">
      <c r="A411" s="108">
        <v>404</v>
      </c>
      <c r="B411" s="108">
        <f t="shared" si="77"/>
        <v>368</v>
      </c>
      <c r="C411" s="108">
        <f t="shared" si="78"/>
        <v>0</v>
      </c>
      <c r="F411" s="108" t="s">
        <v>1813</v>
      </c>
      <c r="G411" s="108">
        <v>21</v>
      </c>
      <c r="H411" s="108">
        <v>33</v>
      </c>
      <c r="I411" s="108">
        <v>27.2</v>
      </c>
      <c r="J411" s="108">
        <v>0</v>
      </c>
      <c r="K411" s="108">
        <v>-49</v>
      </c>
      <c r="L411" s="108">
        <v>-24</v>
      </c>
      <c r="M411" s="108" t="s">
        <v>1814</v>
      </c>
      <c r="N411" s="108" t="s">
        <v>1815</v>
      </c>
    </row>
    <row r="412" spans="1:14">
      <c r="A412" s="108">
        <v>405</v>
      </c>
      <c r="B412" s="108">
        <f t="shared" si="77"/>
        <v>368</v>
      </c>
      <c r="C412" s="108">
        <f t="shared" si="78"/>
        <v>0</v>
      </c>
      <c r="F412" s="108" t="s">
        <v>1816</v>
      </c>
      <c r="G412" s="108">
        <v>13</v>
      </c>
      <c r="H412" s="108">
        <v>42</v>
      </c>
      <c r="I412" s="108">
        <v>11.6</v>
      </c>
      <c r="J412" s="108">
        <v>28</v>
      </c>
      <c r="K412" s="108">
        <v>22</v>
      </c>
      <c r="L412" s="108">
        <v>38</v>
      </c>
      <c r="M412" s="108" t="s">
        <v>1817</v>
      </c>
      <c r="N412" s="108" t="s">
        <v>1818</v>
      </c>
    </row>
    <row r="413" spans="1:14">
      <c r="A413" s="108">
        <v>406</v>
      </c>
      <c r="B413" s="108">
        <f t="shared" si="77"/>
        <v>368</v>
      </c>
      <c r="C413" s="108">
        <f t="shared" si="78"/>
        <v>0</v>
      </c>
      <c r="F413" s="108" t="s">
        <v>1819</v>
      </c>
      <c r="G413" s="108">
        <v>16</v>
      </c>
      <c r="H413" s="108">
        <v>23</v>
      </c>
      <c r="I413" s="108">
        <v>35.200000000000003</v>
      </c>
      <c r="J413" s="108">
        <v>-26</v>
      </c>
      <c r="K413" s="108">
        <v>-31</v>
      </c>
      <c r="L413" s="108">
        <v>-33</v>
      </c>
      <c r="M413" s="108" t="s">
        <v>1820</v>
      </c>
      <c r="N413" s="108" t="s">
        <v>1821</v>
      </c>
    </row>
    <row r="414" spans="1:14">
      <c r="A414" s="108">
        <v>407</v>
      </c>
      <c r="B414" s="108">
        <f t="shared" si="77"/>
        <v>368</v>
      </c>
      <c r="C414" s="108">
        <f t="shared" si="78"/>
        <v>0</v>
      </c>
      <c r="F414" s="108" t="s">
        <v>1822</v>
      </c>
      <c r="G414" s="108">
        <v>15</v>
      </c>
      <c r="H414" s="108">
        <v>18</v>
      </c>
      <c r="I414" s="108">
        <v>33.200000000000003</v>
      </c>
      <c r="J414" s="108">
        <v>2</v>
      </c>
      <c r="K414" s="108">
        <v>4</v>
      </c>
      <c r="L414" s="108">
        <v>52</v>
      </c>
      <c r="M414" s="108" t="s">
        <v>1823</v>
      </c>
      <c r="N414" s="108" t="s">
        <v>1824</v>
      </c>
    </row>
    <row r="415" spans="1:14">
      <c r="A415" s="108">
        <v>408</v>
      </c>
      <c r="B415" s="108">
        <f t="shared" si="77"/>
        <v>368</v>
      </c>
      <c r="C415" s="108">
        <f t="shared" si="78"/>
        <v>0</v>
      </c>
      <c r="F415" s="108" t="s">
        <v>1825</v>
      </c>
      <c r="G415" s="108">
        <v>17</v>
      </c>
      <c r="H415" s="108">
        <v>40</v>
      </c>
      <c r="I415" s="108">
        <v>20</v>
      </c>
      <c r="J415" s="108">
        <v>-32</v>
      </c>
      <c r="K415" s="108">
        <v>-15</v>
      </c>
      <c r="L415" s="108">
        <v>-1</v>
      </c>
      <c r="M415" s="108" t="s">
        <v>1826</v>
      </c>
      <c r="N415" s="108" t="s">
        <v>1827</v>
      </c>
    </row>
    <row r="416" spans="1:14">
      <c r="A416" s="108">
        <v>409</v>
      </c>
      <c r="B416" s="108">
        <f t="shared" si="77"/>
        <v>368</v>
      </c>
      <c r="C416" s="108">
        <f t="shared" si="78"/>
        <v>0</v>
      </c>
      <c r="F416" s="108" t="s">
        <v>1828</v>
      </c>
      <c r="G416" s="108">
        <v>17</v>
      </c>
      <c r="H416" s="108">
        <v>53</v>
      </c>
      <c r="I416" s="108">
        <v>51</v>
      </c>
      <c r="J416" s="108">
        <v>-34</v>
      </c>
      <c r="K416" s="108">
        <v>-47</v>
      </c>
      <c r="L416" s="108">
        <v>-3</v>
      </c>
      <c r="M416" s="108" t="s">
        <v>1829</v>
      </c>
      <c r="N416" s="108" t="s">
        <v>1830</v>
      </c>
    </row>
    <row r="417" spans="1:14">
      <c r="A417" s="108">
        <v>410</v>
      </c>
      <c r="B417" s="108">
        <f t="shared" si="77"/>
        <v>368</v>
      </c>
      <c r="C417" s="108">
        <f t="shared" si="78"/>
        <v>0</v>
      </c>
      <c r="F417" s="108" t="s">
        <v>1831</v>
      </c>
      <c r="G417" s="108">
        <v>18</v>
      </c>
      <c r="H417" s="108">
        <v>3</v>
      </c>
      <c r="I417" s="108">
        <v>37</v>
      </c>
      <c r="J417" s="108">
        <v>-24</v>
      </c>
      <c r="K417" s="108">
        <v>-23</v>
      </c>
      <c r="L417" s="108">
        <v>-1</v>
      </c>
      <c r="M417" s="108" t="s">
        <v>1832</v>
      </c>
      <c r="N417" s="108" t="s">
        <v>1833</v>
      </c>
    </row>
    <row r="418" spans="1:14">
      <c r="A418" s="108">
        <v>411</v>
      </c>
      <c r="B418" s="108">
        <f t="shared" si="77"/>
        <v>368</v>
      </c>
      <c r="C418" s="108">
        <f t="shared" si="78"/>
        <v>0</v>
      </c>
      <c r="F418" s="108" t="s">
        <v>1834</v>
      </c>
      <c r="G418" s="108">
        <v>17</v>
      </c>
      <c r="H418" s="108">
        <v>19</v>
      </c>
      <c r="I418" s="108">
        <v>11.8</v>
      </c>
      <c r="J418" s="108">
        <v>-18</v>
      </c>
      <c r="K418" s="108">
        <v>-30</v>
      </c>
      <c r="L418" s="108">
        <v>-58</v>
      </c>
      <c r="M418" s="108" t="s">
        <v>1835</v>
      </c>
      <c r="N418" s="108" t="s">
        <v>1836</v>
      </c>
    </row>
    <row r="419" spans="1:14">
      <c r="A419" s="108">
        <v>412</v>
      </c>
      <c r="B419" s="108">
        <f t="shared" si="77"/>
        <v>368</v>
      </c>
      <c r="C419" s="108">
        <f t="shared" si="78"/>
        <v>0</v>
      </c>
      <c r="F419" s="108" t="s">
        <v>1837</v>
      </c>
      <c r="G419" s="108">
        <v>16</v>
      </c>
      <c r="H419" s="108">
        <v>57</v>
      </c>
      <c r="I419" s="108">
        <v>9.5</v>
      </c>
      <c r="J419" s="108">
        <v>-4</v>
      </c>
      <c r="K419" s="108">
        <v>-6</v>
      </c>
      <c r="L419" s="108">
        <v>-1</v>
      </c>
      <c r="M419" s="108" t="s">
        <v>1838</v>
      </c>
      <c r="N419" s="108" t="s">
        <v>1839</v>
      </c>
    </row>
    <row r="420" spans="1:14">
      <c r="A420" s="108">
        <v>413</v>
      </c>
      <c r="B420" s="108">
        <f t="shared" si="77"/>
        <v>368</v>
      </c>
      <c r="C420" s="108">
        <f t="shared" si="78"/>
        <v>0</v>
      </c>
      <c r="F420" s="108" t="s">
        <v>1840</v>
      </c>
      <c r="G420" s="108">
        <v>18</v>
      </c>
      <c r="H420" s="108">
        <v>51</v>
      </c>
      <c r="I420" s="108">
        <v>5</v>
      </c>
      <c r="J420" s="108">
        <v>-6</v>
      </c>
      <c r="K420" s="108">
        <v>-16</v>
      </c>
      <c r="L420" s="108">
        <v>-1</v>
      </c>
      <c r="M420" s="108" t="s">
        <v>1841</v>
      </c>
      <c r="N420" s="108" t="s">
        <v>1842</v>
      </c>
    </row>
    <row r="421" spans="1:14">
      <c r="A421" s="108">
        <v>414</v>
      </c>
      <c r="B421" s="108">
        <f t="shared" si="77"/>
        <v>368</v>
      </c>
      <c r="C421" s="108">
        <f t="shared" si="78"/>
        <v>0</v>
      </c>
      <c r="F421" s="108" t="s">
        <v>1843</v>
      </c>
      <c r="G421" s="108">
        <v>16</v>
      </c>
      <c r="H421" s="108">
        <v>47</v>
      </c>
      <c r="I421" s="108">
        <v>14.2</v>
      </c>
      <c r="J421" s="108">
        <v>-1</v>
      </c>
      <c r="K421" s="108">
        <v>-56</v>
      </c>
      <c r="L421" s="108">
        <v>-55</v>
      </c>
      <c r="M421" s="108" t="s">
        <v>1844</v>
      </c>
      <c r="N421" s="108" t="s">
        <v>1845</v>
      </c>
    </row>
    <row r="422" spans="1:14">
      <c r="A422" s="108">
        <v>415</v>
      </c>
      <c r="B422" s="108">
        <f t="shared" si="77"/>
        <v>368</v>
      </c>
      <c r="C422" s="108">
        <f t="shared" si="78"/>
        <v>0</v>
      </c>
      <c r="F422" s="108" t="s">
        <v>1846</v>
      </c>
      <c r="G422" s="108">
        <v>16</v>
      </c>
      <c r="H422" s="108">
        <v>41</v>
      </c>
      <c r="I422" s="108">
        <v>41.6</v>
      </c>
      <c r="J422" s="108">
        <v>36</v>
      </c>
      <c r="K422" s="108">
        <v>27</v>
      </c>
      <c r="L422" s="108">
        <v>41</v>
      </c>
      <c r="M422" s="108" t="s">
        <v>1847</v>
      </c>
      <c r="N422" s="108" t="s">
        <v>1848</v>
      </c>
    </row>
    <row r="423" spans="1:14">
      <c r="A423" s="108">
        <v>416</v>
      </c>
      <c r="B423" s="108">
        <f t="shared" si="77"/>
        <v>368</v>
      </c>
      <c r="C423" s="108">
        <f t="shared" si="78"/>
        <v>0</v>
      </c>
      <c r="F423" s="108" t="s">
        <v>1849</v>
      </c>
      <c r="G423" s="108">
        <v>17</v>
      </c>
      <c r="H423" s="108">
        <v>37</v>
      </c>
      <c r="I423" s="108">
        <v>36.1</v>
      </c>
      <c r="J423" s="108">
        <v>-3</v>
      </c>
      <c r="K423" s="108">
        <v>-14</v>
      </c>
      <c r="L423" s="108">
        <v>-45</v>
      </c>
      <c r="M423" s="108" t="s">
        <v>1850</v>
      </c>
      <c r="N423" s="108" t="s">
        <v>1851</v>
      </c>
    </row>
    <row r="424" spans="1:14">
      <c r="A424" s="108">
        <v>417</v>
      </c>
      <c r="B424" s="108">
        <f t="shared" si="77"/>
        <v>368</v>
      </c>
      <c r="C424" s="108">
        <f t="shared" si="78"/>
        <v>0</v>
      </c>
      <c r="F424" s="108" t="s">
        <v>1852</v>
      </c>
      <c r="G424" s="108">
        <v>21</v>
      </c>
      <c r="H424" s="108">
        <v>29</v>
      </c>
      <c r="I424" s="108">
        <v>58.3</v>
      </c>
      <c r="J424" s="108">
        <v>12</v>
      </c>
      <c r="K424" s="108">
        <v>10</v>
      </c>
      <c r="L424" s="108">
        <v>1</v>
      </c>
      <c r="M424" s="108" t="s">
        <v>1853</v>
      </c>
      <c r="N424" s="108" t="s">
        <v>1854</v>
      </c>
    </row>
    <row r="425" spans="1:14">
      <c r="A425" s="108">
        <v>418</v>
      </c>
      <c r="B425" s="108">
        <f t="shared" si="77"/>
        <v>368</v>
      </c>
      <c r="C425" s="108">
        <f t="shared" si="78"/>
        <v>0</v>
      </c>
      <c r="F425" s="108" t="s">
        <v>1855</v>
      </c>
      <c r="G425" s="108">
        <v>18</v>
      </c>
      <c r="H425" s="108">
        <v>18</v>
      </c>
      <c r="I425" s="108">
        <v>48</v>
      </c>
      <c r="J425" s="108">
        <v>-13</v>
      </c>
      <c r="K425" s="108">
        <v>-48</v>
      </c>
      <c r="L425" s="108">
        <v>-2</v>
      </c>
      <c r="M425" s="108" t="s">
        <v>1856</v>
      </c>
      <c r="N425" s="108" t="s">
        <v>1857</v>
      </c>
    </row>
    <row r="426" spans="1:14">
      <c r="A426" s="108">
        <v>419</v>
      </c>
      <c r="B426" s="108">
        <f t="shared" si="77"/>
        <v>368</v>
      </c>
      <c r="C426" s="108">
        <f t="shared" si="78"/>
        <v>0</v>
      </c>
      <c r="F426" s="108" t="s">
        <v>1858</v>
      </c>
      <c r="G426" s="108">
        <v>18</v>
      </c>
      <c r="H426" s="108">
        <v>20</v>
      </c>
      <c r="I426" s="108">
        <v>48</v>
      </c>
      <c r="J426" s="108">
        <v>-16</v>
      </c>
      <c r="K426" s="108">
        <v>-10</v>
      </c>
      <c r="L426" s="108">
        <v>-1</v>
      </c>
      <c r="M426" s="108" t="s">
        <v>1859</v>
      </c>
      <c r="N426" s="108" t="s">
        <v>1860</v>
      </c>
    </row>
    <row r="427" spans="1:14">
      <c r="A427" s="108">
        <v>420</v>
      </c>
      <c r="B427" s="108">
        <f t="shared" si="77"/>
        <v>368</v>
      </c>
      <c r="C427" s="108">
        <f t="shared" si="78"/>
        <v>0</v>
      </c>
      <c r="F427" s="108" t="s">
        <v>1861</v>
      </c>
      <c r="G427" s="108">
        <v>18</v>
      </c>
      <c r="H427" s="108">
        <v>19</v>
      </c>
      <c r="I427" s="108">
        <v>58</v>
      </c>
      <c r="J427" s="108">
        <v>-17</v>
      </c>
      <c r="K427" s="108">
        <v>-6</v>
      </c>
      <c r="L427" s="108">
        <v>0</v>
      </c>
      <c r="M427" s="108" t="s">
        <v>1862</v>
      </c>
      <c r="N427" s="108" t="s">
        <v>1863</v>
      </c>
    </row>
    <row r="428" spans="1:14">
      <c r="A428" s="108">
        <v>421</v>
      </c>
      <c r="B428" s="108">
        <f t="shared" si="77"/>
        <v>368</v>
      </c>
      <c r="C428" s="108">
        <f t="shared" si="78"/>
        <v>0</v>
      </c>
      <c r="F428" s="108" t="s">
        <v>1864</v>
      </c>
      <c r="G428" s="108">
        <v>17</v>
      </c>
      <c r="H428" s="108">
        <v>2</v>
      </c>
      <c r="I428" s="108">
        <v>37.700000000000003</v>
      </c>
      <c r="J428" s="108">
        <v>-26</v>
      </c>
      <c r="K428" s="108">
        <v>-16</v>
      </c>
      <c r="L428" s="108">
        <v>-5</v>
      </c>
      <c r="M428" s="108" t="s">
        <v>1865</v>
      </c>
      <c r="N428" s="108" t="s">
        <v>1866</v>
      </c>
    </row>
    <row r="429" spans="1:14">
      <c r="A429" s="108">
        <v>422</v>
      </c>
      <c r="B429" s="108">
        <f t="shared" si="77"/>
        <v>368</v>
      </c>
      <c r="C429" s="108">
        <f t="shared" si="78"/>
        <v>0</v>
      </c>
      <c r="F429" s="108" t="s">
        <v>1867</v>
      </c>
      <c r="G429" s="108">
        <v>18</v>
      </c>
      <c r="H429" s="108">
        <v>2</v>
      </c>
      <c r="I429" s="108">
        <v>42</v>
      </c>
      <c r="J429" s="108">
        <v>-23</v>
      </c>
      <c r="K429" s="108">
        <v>-58</v>
      </c>
      <c r="L429" s="108">
        <v>-1</v>
      </c>
      <c r="M429" s="108" t="s">
        <v>1868</v>
      </c>
      <c r="N429" s="108" t="s">
        <v>1869</v>
      </c>
    </row>
    <row r="430" spans="1:14">
      <c r="A430" s="108">
        <v>423</v>
      </c>
      <c r="B430" s="108">
        <f t="shared" si="77"/>
        <v>368</v>
      </c>
      <c r="C430" s="108">
        <f t="shared" si="78"/>
        <v>0</v>
      </c>
      <c r="F430" s="108" t="s">
        <v>1870</v>
      </c>
      <c r="G430" s="108">
        <v>18</v>
      </c>
      <c r="H430" s="108">
        <v>4</v>
      </c>
      <c r="I430" s="108">
        <v>13</v>
      </c>
      <c r="J430" s="108">
        <v>-22</v>
      </c>
      <c r="K430" s="108">
        <v>-29</v>
      </c>
      <c r="L430" s="108">
        <v>-2</v>
      </c>
      <c r="M430" s="108" t="s">
        <v>1871</v>
      </c>
      <c r="N430" s="108" t="s">
        <v>1872</v>
      </c>
    </row>
    <row r="431" spans="1:14">
      <c r="A431" s="108">
        <v>424</v>
      </c>
      <c r="B431" s="108">
        <f t="shared" si="77"/>
        <v>368</v>
      </c>
      <c r="C431" s="108">
        <f t="shared" si="78"/>
        <v>0</v>
      </c>
      <c r="F431" s="108" t="s">
        <v>1873</v>
      </c>
      <c r="G431" s="108">
        <v>18</v>
      </c>
      <c r="H431" s="108">
        <v>36</v>
      </c>
      <c r="I431" s="108">
        <v>23.9</v>
      </c>
      <c r="J431" s="108">
        <v>-23</v>
      </c>
      <c r="K431" s="108">
        <v>-54</v>
      </c>
      <c r="L431" s="108">
        <v>-17</v>
      </c>
      <c r="M431" s="108" t="s">
        <v>1874</v>
      </c>
      <c r="N431" s="108" t="s">
        <v>1875</v>
      </c>
    </row>
    <row r="432" spans="1:14">
      <c r="A432" s="108">
        <v>425</v>
      </c>
      <c r="B432" s="108">
        <f t="shared" si="77"/>
        <v>368</v>
      </c>
      <c r="C432" s="108">
        <f t="shared" si="78"/>
        <v>0</v>
      </c>
      <c r="F432" s="108" t="s">
        <v>1876</v>
      </c>
      <c r="G432" s="108">
        <v>17</v>
      </c>
      <c r="H432" s="108">
        <v>57</v>
      </c>
      <c r="I432" s="108">
        <v>4</v>
      </c>
      <c r="J432" s="108">
        <v>-18</v>
      </c>
      <c r="K432" s="108">
        <v>-59</v>
      </c>
      <c r="L432" s="108">
        <v>0</v>
      </c>
      <c r="M432" s="108" t="s">
        <v>1877</v>
      </c>
      <c r="N432" s="108" t="s">
        <v>1878</v>
      </c>
    </row>
    <row r="433" spans="1:14">
      <c r="A433" s="108">
        <v>426</v>
      </c>
      <c r="B433" s="108">
        <f t="shared" si="77"/>
        <v>368</v>
      </c>
      <c r="C433" s="108">
        <f t="shared" si="78"/>
        <v>0</v>
      </c>
      <c r="F433" s="108" t="s">
        <v>1879</v>
      </c>
      <c r="G433" s="108">
        <v>18</v>
      </c>
      <c r="H433" s="108">
        <v>16</v>
      </c>
      <c r="I433" s="108">
        <v>4</v>
      </c>
      <c r="J433" s="108">
        <v>-18</v>
      </c>
      <c r="K433" s="108">
        <v>-33</v>
      </c>
      <c r="L433" s="108">
        <v>0</v>
      </c>
      <c r="M433" s="108" t="s">
        <v>1880</v>
      </c>
      <c r="N433" s="108" t="s">
        <v>1881</v>
      </c>
    </row>
    <row r="434" spans="1:14">
      <c r="A434" s="108">
        <v>427</v>
      </c>
      <c r="B434" s="108">
        <f t="shared" si="77"/>
        <v>368</v>
      </c>
      <c r="C434" s="108">
        <f t="shared" si="78"/>
        <v>0</v>
      </c>
      <c r="F434" s="108" t="s">
        <v>1882</v>
      </c>
      <c r="G434" s="108">
        <v>18</v>
      </c>
      <c r="H434" s="108">
        <v>31</v>
      </c>
      <c r="I434" s="108">
        <v>47</v>
      </c>
      <c r="J434" s="108">
        <v>-19</v>
      </c>
      <c r="K434" s="108">
        <v>-7</v>
      </c>
      <c r="L434" s="108">
        <v>0</v>
      </c>
      <c r="M434" s="108" t="s">
        <v>1883</v>
      </c>
      <c r="N434" s="108" t="s">
        <v>1884</v>
      </c>
    </row>
    <row r="435" spans="1:14">
      <c r="A435" s="108">
        <v>428</v>
      </c>
      <c r="B435" s="108">
        <f t="shared" si="77"/>
        <v>368</v>
      </c>
      <c r="C435" s="108">
        <f t="shared" si="78"/>
        <v>0</v>
      </c>
      <c r="F435" s="108" t="s">
        <v>1885</v>
      </c>
      <c r="G435" s="108">
        <v>18</v>
      </c>
      <c r="H435" s="108">
        <v>45</v>
      </c>
      <c r="I435" s="108">
        <v>18</v>
      </c>
      <c r="J435" s="108">
        <v>-9</v>
      </c>
      <c r="K435" s="108">
        <v>-23</v>
      </c>
      <c r="L435" s="108">
        <v>0</v>
      </c>
      <c r="M435" s="108" t="s">
        <v>1886</v>
      </c>
      <c r="N435" s="108" t="s">
        <v>1887</v>
      </c>
    </row>
    <row r="436" spans="1:14">
      <c r="A436" s="108">
        <v>429</v>
      </c>
      <c r="B436" s="108">
        <f t="shared" si="77"/>
        <v>368</v>
      </c>
      <c r="C436" s="108">
        <f t="shared" si="78"/>
        <v>0</v>
      </c>
      <c r="F436" s="108" t="s">
        <v>1888</v>
      </c>
      <c r="G436" s="108">
        <v>19</v>
      </c>
      <c r="H436" s="108">
        <v>59</v>
      </c>
      <c r="I436" s="108">
        <v>36.4</v>
      </c>
      <c r="J436" s="108">
        <v>22</v>
      </c>
      <c r="K436" s="108">
        <v>43</v>
      </c>
      <c r="L436" s="108">
        <v>16</v>
      </c>
      <c r="M436" s="108" t="s">
        <v>1889</v>
      </c>
      <c r="N436" s="108" t="s">
        <v>1890</v>
      </c>
    </row>
    <row r="437" spans="1:14">
      <c r="A437" s="108">
        <v>430</v>
      </c>
      <c r="B437" s="108">
        <f t="shared" si="77"/>
        <v>368</v>
      </c>
      <c r="C437" s="108">
        <f t="shared" si="78"/>
        <v>0</v>
      </c>
      <c r="F437" s="108" t="s">
        <v>1891</v>
      </c>
      <c r="G437" s="108">
        <v>18</v>
      </c>
      <c r="H437" s="108">
        <v>24</v>
      </c>
      <c r="I437" s="108">
        <v>32.9</v>
      </c>
      <c r="J437" s="108">
        <v>-24</v>
      </c>
      <c r="K437" s="108">
        <v>-52</v>
      </c>
      <c r="L437" s="108">
        <v>-11</v>
      </c>
      <c r="M437" s="108" t="s">
        <v>1892</v>
      </c>
      <c r="N437" s="108" t="s">
        <v>1893</v>
      </c>
    </row>
    <row r="438" spans="1:14">
      <c r="A438" s="108">
        <v>431</v>
      </c>
      <c r="B438" s="108">
        <f t="shared" si="77"/>
        <v>368</v>
      </c>
      <c r="C438" s="108">
        <f t="shared" si="78"/>
        <v>0</v>
      </c>
      <c r="F438" s="108" t="s">
        <v>1894</v>
      </c>
      <c r="G438" s="108">
        <v>20</v>
      </c>
      <c r="H438" s="108">
        <v>23</v>
      </c>
      <c r="I438" s="108">
        <v>56</v>
      </c>
      <c r="J438" s="108">
        <v>38</v>
      </c>
      <c r="K438" s="108">
        <v>31</v>
      </c>
      <c r="L438" s="108">
        <v>2</v>
      </c>
      <c r="M438" s="108" t="s">
        <v>1895</v>
      </c>
      <c r="N438" s="108" t="s">
        <v>1896</v>
      </c>
    </row>
    <row r="439" spans="1:14">
      <c r="A439" s="108">
        <v>432</v>
      </c>
      <c r="B439" s="108">
        <f t="shared" si="77"/>
        <v>368</v>
      </c>
      <c r="C439" s="108">
        <f t="shared" si="78"/>
        <v>0</v>
      </c>
      <c r="F439" s="108" t="s">
        <v>1897</v>
      </c>
      <c r="G439" s="108">
        <v>21</v>
      </c>
      <c r="H439" s="108">
        <v>40</v>
      </c>
      <c r="I439" s="108">
        <v>22.1</v>
      </c>
      <c r="J439" s="108">
        <v>-23</v>
      </c>
      <c r="K439" s="108">
        <v>-10</v>
      </c>
      <c r="L439" s="108">
        <v>-47</v>
      </c>
      <c r="M439" s="108" t="s">
        <v>1898</v>
      </c>
      <c r="N439" s="108" t="s">
        <v>1899</v>
      </c>
    </row>
    <row r="440" spans="1:14">
      <c r="A440" s="108">
        <v>433</v>
      </c>
      <c r="B440" s="108">
        <f t="shared" si="77"/>
        <v>368</v>
      </c>
      <c r="C440" s="108">
        <f t="shared" si="78"/>
        <v>0</v>
      </c>
      <c r="F440" s="108" t="s">
        <v>1900</v>
      </c>
      <c r="G440" s="108">
        <v>0</v>
      </c>
      <c r="H440" s="108">
        <v>42</v>
      </c>
      <c r="I440" s="108">
        <v>44.3</v>
      </c>
      <c r="J440" s="108">
        <v>41</v>
      </c>
      <c r="K440" s="108">
        <v>16</v>
      </c>
      <c r="L440" s="108">
        <v>8</v>
      </c>
      <c r="M440" s="108" t="s">
        <v>1901</v>
      </c>
      <c r="N440" s="108" t="s">
        <v>1902</v>
      </c>
    </row>
    <row r="441" spans="1:14">
      <c r="A441" s="108">
        <v>434</v>
      </c>
      <c r="B441" s="108">
        <f t="shared" si="77"/>
        <v>368</v>
      </c>
      <c r="C441" s="108">
        <f t="shared" si="78"/>
        <v>0</v>
      </c>
      <c r="F441" s="108" t="s">
        <v>1903</v>
      </c>
      <c r="G441" s="108">
        <v>1</v>
      </c>
      <c r="H441" s="108">
        <v>33</v>
      </c>
      <c r="I441" s="108">
        <v>50.9</v>
      </c>
      <c r="J441" s="108">
        <v>30</v>
      </c>
      <c r="K441" s="108">
        <v>39</v>
      </c>
      <c r="L441" s="108">
        <v>36</v>
      </c>
      <c r="M441" s="108" t="s">
        <v>1904</v>
      </c>
      <c r="N441" s="108" t="s">
        <v>1905</v>
      </c>
    </row>
    <row r="442" spans="1:14">
      <c r="A442" s="108">
        <v>435</v>
      </c>
      <c r="B442" s="108">
        <f t="shared" si="77"/>
        <v>368</v>
      </c>
      <c r="C442" s="108">
        <f t="shared" si="78"/>
        <v>0</v>
      </c>
      <c r="F442" s="108" t="s">
        <v>1906</v>
      </c>
      <c r="G442" s="108">
        <v>6</v>
      </c>
      <c r="H442" s="108">
        <v>8</v>
      </c>
      <c r="I442" s="108">
        <v>24</v>
      </c>
      <c r="J442" s="108">
        <v>24</v>
      </c>
      <c r="K442" s="108">
        <v>20</v>
      </c>
      <c r="L442" s="108">
        <v>0</v>
      </c>
      <c r="M442" s="108" t="s">
        <v>1907</v>
      </c>
      <c r="N442" s="108" t="s">
        <v>1908</v>
      </c>
    </row>
    <row r="443" spans="1:14">
      <c r="A443" s="108">
        <v>436</v>
      </c>
      <c r="B443" s="108">
        <f t="shared" si="77"/>
        <v>368</v>
      </c>
      <c r="C443" s="108">
        <f t="shared" si="78"/>
        <v>0</v>
      </c>
      <c r="F443" s="108" t="s">
        <v>1909</v>
      </c>
      <c r="G443" s="108">
        <v>5</v>
      </c>
      <c r="H443" s="108">
        <v>36</v>
      </c>
      <c r="I443" s="108">
        <v>18</v>
      </c>
      <c r="J443" s="108">
        <v>34</v>
      </c>
      <c r="K443" s="108">
        <v>8</v>
      </c>
      <c r="L443" s="108">
        <v>2</v>
      </c>
      <c r="M443" s="108" t="s">
        <v>1910</v>
      </c>
      <c r="N443" s="108" t="s">
        <v>1911</v>
      </c>
    </row>
    <row r="444" spans="1:14">
      <c r="A444" s="108">
        <v>437</v>
      </c>
      <c r="B444" s="108">
        <f t="shared" si="77"/>
        <v>368</v>
      </c>
      <c r="C444" s="108">
        <f t="shared" si="78"/>
        <v>0</v>
      </c>
      <c r="F444" s="108" t="s">
        <v>1912</v>
      </c>
      <c r="G444" s="108">
        <v>5</v>
      </c>
      <c r="H444" s="108">
        <v>52</v>
      </c>
      <c r="I444" s="108">
        <v>18</v>
      </c>
      <c r="J444" s="108">
        <v>32</v>
      </c>
      <c r="K444" s="108">
        <v>33</v>
      </c>
      <c r="L444" s="108">
        <v>1</v>
      </c>
      <c r="M444" s="108" t="s">
        <v>1913</v>
      </c>
      <c r="N444" s="108" t="s">
        <v>1914</v>
      </c>
    </row>
    <row r="445" spans="1:14">
      <c r="A445" s="108">
        <v>438</v>
      </c>
      <c r="B445" s="108">
        <f t="shared" si="77"/>
        <v>368</v>
      </c>
      <c r="C445" s="108">
        <f t="shared" si="78"/>
        <v>0</v>
      </c>
      <c r="F445" s="108" t="s">
        <v>1915</v>
      </c>
      <c r="G445" s="108">
        <v>5</v>
      </c>
      <c r="H445" s="108">
        <v>28</v>
      </c>
      <c r="I445" s="108">
        <v>43</v>
      </c>
      <c r="J445" s="108">
        <v>35</v>
      </c>
      <c r="K445" s="108">
        <v>51</v>
      </c>
      <c r="L445" s="108">
        <v>1</v>
      </c>
      <c r="M445" s="108" t="s">
        <v>1916</v>
      </c>
      <c r="N445" s="108" t="s">
        <v>1917</v>
      </c>
    </row>
    <row r="446" spans="1:14">
      <c r="A446" s="108">
        <v>439</v>
      </c>
      <c r="B446" s="108">
        <f t="shared" si="77"/>
        <v>368</v>
      </c>
      <c r="C446" s="108">
        <f t="shared" si="78"/>
        <v>0</v>
      </c>
      <c r="F446" s="108" t="s">
        <v>1918</v>
      </c>
      <c r="G446" s="108">
        <v>21</v>
      </c>
      <c r="H446" s="108">
        <v>31</v>
      </c>
      <c r="I446" s="108">
        <v>48</v>
      </c>
      <c r="J446" s="108">
        <v>48</v>
      </c>
      <c r="K446" s="108">
        <v>26</v>
      </c>
      <c r="L446" s="108">
        <v>0</v>
      </c>
      <c r="M446" s="108" t="s">
        <v>1919</v>
      </c>
      <c r="N446" s="108" t="s">
        <v>1920</v>
      </c>
    </row>
    <row r="447" spans="1:14">
      <c r="A447" s="108">
        <v>440</v>
      </c>
      <c r="B447" s="108">
        <f t="shared" si="77"/>
        <v>368</v>
      </c>
      <c r="C447" s="108">
        <f t="shared" si="78"/>
        <v>0</v>
      </c>
      <c r="F447" s="108" t="s">
        <v>1921</v>
      </c>
      <c r="G447" s="108">
        <v>6</v>
      </c>
      <c r="H447" s="108">
        <v>46</v>
      </c>
      <c r="I447" s="108">
        <v>1</v>
      </c>
      <c r="J447" s="108">
        <v>-20</v>
      </c>
      <c r="K447" s="108">
        <v>-45</v>
      </c>
      <c r="L447" s="108">
        <v>-2</v>
      </c>
      <c r="M447" s="108" t="s">
        <v>1922</v>
      </c>
      <c r="N447" s="108" t="s">
        <v>1923</v>
      </c>
    </row>
    <row r="448" spans="1:14">
      <c r="A448" s="108">
        <v>441</v>
      </c>
      <c r="B448" s="108">
        <f t="shared" si="77"/>
        <v>368</v>
      </c>
      <c r="C448" s="108">
        <f t="shared" si="78"/>
        <v>0</v>
      </c>
      <c r="F448" s="108" t="s">
        <v>1924</v>
      </c>
      <c r="G448" s="108">
        <v>5</v>
      </c>
      <c r="H448" s="108">
        <v>35</v>
      </c>
      <c r="I448" s="108">
        <v>17.3</v>
      </c>
      <c r="J448" s="108">
        <v>-5</v>
      </c>
      <c r="K448" s="108">
        <v>-23</v>
      </c>
      <c r="L448" s="108">
        <v>-28</v>
      </c>
      <c r="M448" s="108" t="s">
        <v>1925</v>
      </c>
      <c r="N448" s="108" t="s">
        <v>1926</v>
      </c>
    </row>
    <row r="449" spans="1:14">
      <c r="A449" s="108">
        <v>442</v>
      </c>
      <c r="B449" s="108">
        <f t="shared" si="77"/>
        <v>368</v>
      </c>
      <c r="C449" s="108">
        <f t="shared" si="78"/>
        <v>0</v>
      </c>
      <c r="F449" s="108" t="s">
        <v>1927</v>
      </c>
      <c r="G449" s="108">
        <v>8</v>
      </c>
      <c r="H449" s="108">
        <v>40</v>
      </c>
      <c r="I449" s="108">
        <v>24</v>
      </c>
      <c r="J449" s="108">
        <v>19</v>
      </c>
      <c r="K449" s="108">
        <v>0</v>
      </c>
      <c r="L449" s="108">
        <v>21</v>
      </c>
      <c r="M449" s="108" t="s">
        <v>1928</v>
      </c>
      <c r="N449" s="108" t="s">
        <v>1929</v>
      </c>
    </row>
    <row r="450" spans="1:14">
      <c r="A450" s="108">
        <v>443</v>
      </c>
      <c r="B450" s="108">
        <f t="shared" si="77"/>
        <v>368</v>
      </c>
      <c r="C450" s="108">
        <f t="shared" si="78"/>
        <v>0</v>
      </c>
      <c r="F450" s="108" t="s">
        <v>1930</v>
      </c>
      <c r="G450" s="108">
        <v>7</v>
      </c>
      <c r="H450" s="108">
        <v>41</v>
      </c>
      <c r="I450" s="108">
        <v>46</v>
      </c>
      <c r="J450" s="108">
        <v>-14</v>
      </c>
      <c r="K450" s="108">
        <v>-48</v>
      </c>
      <c r="L450" s="108">
        <v>-3</v>
      </c>
      <c r="M450" s="108" t="s">
        <v>1931</v>
      </c>
      <c r="N450" s="108" t="s">
        <v>1932</v>
      </c>
    </row>
    <row r="451" spans="1:14">
      <c r="A451" s="108">
        <v>444</v>
      </c>
      <c r="B451" s="108">
        <f t="shared" si="77"/>
        <v>368</v>
      </c>
      <c r="C451" s="108">
        <f t="shared" si="78"/>
        <v>0</v>
      </c>
      <c r="F451" s="108" t="s">
        <v>1933</v>
      </c>
      <c r="G451" s="108">
        <v>7</v>
      </c>
      <c r="H451" s="108">
        <v>36</v>
      </c>
      <c r="I451" s="108">
        <v>35</v>
      </c>
      <c r="J451" s="108">
        <v>-14</v>
      </c>
      <c r="K451" s="108">
        <v>-29</v>
      </c>
      <c r="L451" s="108">
        <v>0</v>
      </c>
      <c r="M451" s="108" t="s">
        <v>1934</v>
      </c>
      <c r="N451" s="108" t="s">
        <v>1935</v>
      </c>
    </row>
    <row r="452" spans="1:14">
      <c r="A452" s="108">
        <v>445</v>
      </c>
      <c r="B452" s="108">
        <f t="shared" si="77"/>
        <v>368</v>
      </c>
      <c r="C452" s="108">
        <f t="shared" si="78"/>
        <v>0</v>
      </c>
      <c r="F452" s="108" t="s">
        <v>1936</v>
      </c>
      <c r="G452" s="108">
        <v>8</v>
      </c>
      <c r="H452" s="108">
        <v>13</v>
      </c>
      <c r="I452" s="108">
        <v>43</v>
      </c>
      <c r="J452" s="108">
        <v>-5</v>
      </c>
      <c r="K452" s="108">
        <v>-45</v>
      </c>
      <c r="L452" s="108">
        <v>0</v>
      </c>
      <c r="M452" s="108" t="s">
        <v>1937</v>
      </c>
      <c r="N452" s="108" t="s">
        <v>1938</v>
      </c>
    </row>
    <row r="453" spans="1:14">
      <c r="A453" s="108">
        <v>446</v>
      </c>
      <c r="B453" s="108">
        <f t="shared" si="77"/>
        <v>368</v>
      </c>
      <c r="C453" s="108">
        <f t="shared" si="78"/>
        <v>0</v>
      </c>
      <c r="F453" s="108" t="s">
        <v>1939</v>
      </c>
      <c r="G453" s="108">
        <v>12</v>
      </c>
      <c r="H453" s="108">
        <v>29</v>
      </c>
      <c r="I453" s="108">
        <v>46.8</v>
      </c>
      <c r="J453" s="108">
        <v>8</v>
      </c>
      <c r="K453" s="108">
        <v>0</v>
      </c>
      <c r="L453" s="108">
        <v>1</v>
      </c>
      <c r="M453" s="108" t="s">
        <v>1940</v>
      </c>
      <c r="N453" s="108" t="s">
        <v>1941</v>
      </c>
    </row>
    <row r="454" spans="1:14">
      <c r="A454" s="108">
        <v>447</v>
      </c>
      <c r="B454" s="108">
        <f t="shared" ref="B454:B517" si="79">IF(B453=F454,A454,B453)</f>
        <v>368</v>
      </c>
      <c r="C454" s="108">
        <f t="shared" ref="C454:C517" si="80" xml:space="preserve"> IF(C453=F454,A454,C453)</f>
        <v>0</v>
      </c>
      <c r="F454" s="108" t="s">
        <v>1942</v>
      </c>
      <c r="G454" s="108">
        <v>7</v>
      </c>
      <c r="H454" s="108">
        <v>2</v>
      </c>
      <c r="I454" s="108">
        <v>47.5</v>
      </c>
      <c r="J454" s="108">
        <v>-8</v>
      </c>
      <c r="K454" s="108">
        <v>-20</v>
      </c>
      <c r="L454" s="108">
        <v>-16</v>
      </c>
      <c r="M454" s="108" t="s">
        <v>1943</v>
      </c>
      <c r="N454" s="108" t="s">
        <v>1944</v>
      </c>
    </row>
    <row r="455" spans="1:14">
      <c r="A455" s="108">
        <v>448</v>
      </c>
      <c r="B455" s="108">
        <f t="shared" si="79"/>
        <v>368</v>
      </c>
      <c r="C455" s="108">
        <f t="shared" si="80"/>
        <v>0</v>
      </c>
      <c r="F455" s="108" t="s">
        <v>1945</v>
      </c>
      <c r="G455" s="108">
        <v>13</v>
      </c>
      <c r="H455" s="108">
        <v>29</v>
      </c>
      <c r="I455" s="108">
        <v>52.7</v>
      </c>
      <c r="J455" s="108">
        <v>47</v>
      </c>
      <c r="K455" s="108">
        <v>11</v>
      </c>
      <c r="L455" s="108">
        <v>43</v>
      </c>
      <c r="M455" s="108" t="s">
        <v>1946</v>
      </c>
      <c r="N455" s="108" t="s">
        <v>1947</v>
      </c>
    </row>
    <row r="456" spans="1:14">
      <c r="A456" s="108">
        <v>449</v>
      </c>
      <c r="B456" s="108">
        <f t="shared" si="79"/>
        <v>368</v>
      </c>
      <c r="C456" s="108">
        <f t="shared" si="80"/>
        <v>0</v>
      </c>
      <c r="F456" s="108" t="s">
        <v>1948</v>
      </c>
      <c r="G456" s="108">
        <v>23</v>
      </c>
      <c r="H456" s="108">
        <v>24</v>
      </c>
      <c r="I456" s="108">
        <v>48</v>
      </c>
      <c r="J456" s="108">
        <v>61</v>
      </c>
      <c r="K456" s="108">
        <v>35</v>
      </c>
      <c r="L456" s="108">
        <v>36</v>
      </c>
      <c r="M456" s="108" t="s">
        <v>1949</v>
      </c>
      <c r="N456" s="108" t="s">
        <v>1950</v>
      </c>
    </row>
    <row r="457" spans="1:14">
      <c r="A457" s="108">
        <v>450</v>
      </c>
      <c r="B457" s="108">
        <f t="shared" si="79"/>
        <v>368</v>
      </c>
      <c r="C457" s="108">
        <f t="shared" si="80"/>
        <v>0</v>
      </c>
      <c r="F457" s="108" t="s">
        <v>1951</v>
      </c>
      <c r="G457" s="108">
        <v>13</v>
      </c>
      <c r="H457" s="108">
        <v>12</v>
      </c>
      <c r="I457" s="108">
        <v>55.2</v>
      </c>
      <c r="J457" s="108">
        <v>18</v>
      </c>
      <c r="K457" s="108">
        <v>10</v>
      </c>
      <c r="L457" s="108">
        <v>5</v>
      </c>
      <c r="M457" s="108" t="s">
        <v>1952</v>
      </c>
      <c r="N457" s="108" t="s">
        <v>1953</v>
      </c>
    </row>
    <row r="458" spans="1:14">
      <c r="A458" s="108">
        <v>451</v>
      </c>
      <c r="B458" s="108">
        <f t="shared" si="79"/>
        <v>368</v>
      </c>
      <c r="C458" s="108">
        <f t="shared" si="80"/>
        <v>0</v>
      </c>
      <c r="F458" s="108" t="s">
        <v>1954</v>
      </c>
      <c r="G458" s="108">
        <v>18</v>
      </c>
      <c r="H458" s="108">
        <v>55</v>
      </c>
      <c r="I458" s="108">
        <v>3.3</v>
      </c>
      <c r="J458" s="108">
        <v>-30</v>
      </c>
      <c r="K458" s="108">
        <v>-28</v>
      </c>
      <c r="L458" s="108">
        <v>-47</v>
      </c>
      <c r="M458" s="108" t="s">
        <v>1955</v>
      </c>
      <c r="N458" s="108" t="s">
        <v>1956</v>
      </c>
    </row>
    <row r="459" spans="1:14">
      <c r="A459" s="108">
        <v>452</v>
      </c>
      <c r="B459" s="108">
        <f t="shared" si="79"/>
        <v>368</v>
      </c>
      <c r="C459" s="108">
        <f t="shared" si="80"/>
        <v>0</v>
      </c>
      <c r="F459" s="108" t="s">
        <v>1957</v>
      </c>
      <c r="G459" s="108">
        <v>19</v>
      </c>
      <c r="H459" s="108">
        <v>39</v>
      </c>
      <c r="I459" s="108">
        <v>59.7</v>
      </c>
      <c r="J459" s="108">
        <v>-30</v>
      </c>
      <c r="K459" s="108">
        <v>-57</v>
      </c>
      <c r="L459" s="108">
        <v>-53</v>
      </c>
      <c r="M459" s="108" t="s">
        <v>1958</v>
      </c>
      <c r="N459" s="108" t="s">
        <v>1959</v>
      </c>
    </row>
    <row r="460" spans="1:14">
      <c r="A460" s="108">
        <v>453</v>
      </c>
      <c r="B460" s="108">
        <f t="shared" si="79"/>
        <v>368</v>
      </c>
      <c r="C460" s="108">
        <f t="shared" si="80"/>
        <v>0</v>
      </c>
      <c r="F460" s="108" t="s">
        <v>1960</v>
      </c>
      <c r="G460" s="108">
        <v>19</v>
      </c>
      <c r="H460" s="108">
        <v>16</v>
      </c>
      <c r="I460" s="108">
        <v>35.6</v>
      </c>
      <c r="J460" s="108">
        <v>30</v>
      </c>
      <c r="K460" s="108">
        <v>11</v>
      </c>
      <c r="L460" s="108">
        <v>0</v>
      </c>
      <c r="M460" s="108" t="s">
        <v>1961</v>
      </c>
      <c r="N460" s="108" t="s">
        <v>1962</v>
      </c>
    </row>
    <row r="461" spans="1:14">
      <c r="A461" s="108">
        <v>454</v>
      </c>
      <c r="B461" s="108">
        <f t="shared" si="79"/>
        <v>368</v>
      </c>
      <c r="C461" s="108">
        <f t="shared" si="80"/>
        <v>0</v>
      </c>
      <c r="F461" s="108" t="s">
        <v>1963</v>
      </c>
      <c r="G461" s="108">
        <v>18</v>
      </c>
      <c r="H461" s="108">
        <v>53</v>
      </c>
      <c r="I461" s="108">
        <v>35.1</v>
      </c>
      <c r="J461" s="108">
        <v>33</v>
      </c>
      <c r="K461" s="108">
        <v>1</v>
      </c>
      <c r="L461" s="108">
        <v>45</v>
      </c>
      <c r="M461" s="108" t="s">
        <v>1964</v>
      </c>
      <c r="N461" s="108" t="s">
        <v>1965</v>
      </c>
    </row>
    <row r="462" spans="1:14">
      <c r="A462" s="108">
        <v>455</v>
      </c>
      <c r="B462" s="108">
        <f t="shared" si="79"/>
        <v>368</v>
      </c>
      <c r="C462" s="108">
        <f t="shared" si="80"/>
        <v>0</v>
      </c>
      <c r="F462" s="108" t="s">
        <v>1966</v>
      </c>
      <c r="G462" s="108">
        <v>12</v>
      </c>
      <c r="H462" s="108">
        <v>37</v>
      </c>
      <c r="I462" s="108">
        <v>43.6</v>
      </c>
      <c r="J462" s="108">
        <v>11</v>
      </c>
      <c r="K462" s="108">
        <v>49</v>
      </c>
      <c r="L462" s="108">
        <v>5</v>
      </c>
      <c r="M462" s="108" t="s">
        <v>1967</v>
      </c>
      <c r="N462" s="108" t="s">
        <v>1968</v>
      </c>
    </row>
    <row r="463" spans="1:14">
      <c r="A463" s="108">
        <v>456</v>
      </c>
      <c r="B463" s="108">
        <f t="shared" si="79"/>
        <v>368</v>
      </c>
      <c r="C463" s="108">
        <f t="shared" si="80"/>
        <v>0</v>
      </c>
      <c r="F463" s="108" t="s">
        <v>1969</v>
      </c>
      <c r="G463" s="108">
        <v>12</v>
      </c>
      <c r="H463" s="108">
        <v>42</v>
      </c>
      <c r="I463" s="108">
        <v>2.2999999999999998</v>
      </c>
      <c r="J463" s="108">
        <v>11</v>
      </c>
      <c r="K463" s="108">
        <v>38</v>
      </c>
      <c r="L463" s="108">
        <v>49</v>
      </c>
      <c r="M463" s="108" t="s">
        <v>1970</v>
      </c>
      <c r="N463" s="108" t="s">
        <v>1971</v>
      </c>
    </row>
    <row r="464" spans="1:14">
      <c r="A464" s="108">
        <v>457</v>
      </c>
      <c r="B464" s="108">
        <f t="shared" si="79"/>
        <v>368</v>
      </c>
      <c r="C464" s="108">
        <f t="shared" si="80"/>
        <v>0</v>
      </c>
      <c r="F464" s="108" t="s">
        <v>1972</v>
      </c>
      <c r="G464" s="108">
        <v>12</v>
      </c>
      <c r="H464" s="108">
        <v>43</v>
      </c>
      <c r="I464" s="108">
        <v>40</v>
      </c>
      <c r="J464" s="108">
        <v>11</v>
      </c>
      <c r="K464" s="108">
        <v>33</v>
      </c>
      <c r="L464" s="108">
        <v>9</v>
      </c>
      <c r="M464" s="108" t="s">
        <v>1973</v>
      </c>
      <c r="N464" s="108" t="s">
        <v>1974</v>
      </c>
    </row>
    <row r="465" spans="1:14">
      <c r="A465" s="108">
        <v>458</v>
      </c>
      <c r="B465" s="108">
        <f t="shared" si="79"/>
        <v>368</v>
      </c>
      <c r="C465" s="108">
        <f t="shared" si="80"/>
        <v>0</v>
      </c>
      <c r="F465" s="108" t="s">
        <v>1975</v>
      </c>
      <c r="G465" s="108">
        <v>12</v>
      </c>
      <c r="H465" s="108">
        <v>21</v>
      </c>
      <c r="I465" s="108">
        <v>55</v>
      </c>
      <c r="J465" s="108">
        <v>4</v>
      </c>
      <c r="K465" s="108">
        <v>28</v>
      </c>
      <c r="L465" s="108">
        <v>25</v>
      </c>
      <c r="M465" s="108" t="s">
        <v>1976</v>
      </c>
      <c r="N465" s="108" t="s">
        <v>1977</v>
      </c>
    </row>
    <row r="466" spans="1:14">
      <c r="A466" s="108">
        <v>459</v>
      </c>
      <c r="B466" s="108">
        <f t="shared" si="79"/>
        <v>368</v>
      </c>
      <c r="C466" s="108">
        <f t="shared" si="80"/>
        <v>0</v>
      </c>
      <c r="F466" s="108" t="s">
        <v>1978</v>
      </c>
      <c r="G466" s="108">
        <v>17</v>
      </c>
      <c r="H466" s="108">
        <v>1</v>
      </c>
      <c r="I466" s="108">
        <v>12.6</v>
      </c>
      <c r="J466" s="108">
        <v>-30</v>
      </c>
      <c r="K466" s="108">
        <v>-6</v>
      </c>
      <c r="L466" s="108">
        <v>-44</v>
      </c>
      <c r="M466" s="108" t="s">
        <v>1979</v>
      </c>
      <c r="N466" s="108" t="s">
        <v>1980</v>
      </c>
    </row>
    <row r="467" spans="1:14">
      <c r="A467" s="108">
        <v>460</v>
      </c>
      <c r="B467" s="108">
        <f t="shared" si="79"/>
        <v>368</v>
      </c>
      <c r="C467" s="108">
        <f t="shared" si="80"/>
        <v>0</v>
      </c>
      <c r="F467" s="108" t="s">
        <v>1981</v>
      </c>
      <c r="G467" s="108">
        <v>13</v>
      </c>
      <c r="H467" s="108">
        <v>15</v>
      </c>
      <c r="I467" s="108">
        <v>49.3</v>
      </c>
      <c r="J467" s="108">
        <v>42</v>
      </c>
      <c r="K467" s="108">
        <v>1</v>
      </c>
      <c r="L467" s="108">
        <v>45</v>
      </c>
      <c r="M467" s="108" t="s">
        <v>1982</v>
      </c>
      <c r="N467" s="108" t="s">
        <v>1983</v>
      </c>
    </row>
    <row r="468" spans="1:14">
      <c r="A468" s="108">
        <v>461</v>
      </c>
      <c r="B468" s="108">
        <f t="shared" si="79"/>
        <v>368</v>
      </c>
      <c r="C468" s="108">
        <f t="shared" si="80"/>
        <v>0</v>
      </c>
      <c r="F468" s="108" t="s">
        <v>1984</v>
      </c>
      <c r="G468" s="108">
        <v>12</v>
      </c>
      <c r="H468" s="108">
        <v>56</v>
      </c>
      <c r="I468" s="108">
        <v>43.7</v>
      </c>
      <c r="J468" s="108">
        <v>21</v>
      </c>
      <c r="K468" s="108">
        <v>40</v>
      </c>
      <c r="L468" s="108">
        <v>58</v>
      </c>
      <c r="M468" s="108" t="s">
        <v>1985</v>
      </c>
      <c r="N468" s="108" t="s">
        <v>1986</v>
      </c>
    </row>
    <row r="469" spans="1:14">
      <c r="A469" s="108">
        <v>462</v>
      </c>
      <c r="B469" s="108">
        <f t="shared" si="79"/>
        <v>368</v>
      </c>
      <c r="C469" s="108">
        <f t="shared" si="80"/>
        <v>0</v>
      </c>
      <c r="F469" s="108" t="s">
        <v>1987</v>
      </c>
      <c r="G469" s="108">
        <v>11</v>
      </c>
      <c r="H469" s="108">
        <v>18</v>
      </c>
      <c r="I469" s="108">
        <v>56</v>
      </c>
      <c r="J469" s="108">
        <v>13</v>
      </c>
      <c r="K469" s="108">
        <v>5</v>
      </c>
      <c r="L469" s="108">
        <v>32</v>
      </c>
      <c r="M469" s="108" t="s">
        <v>1988</v>
      </c>
      <c r="N469" s="108" t="s">
        <v>1989</v>
      </c>
    </row>
    <row r="470" spans="1:14">
      <c r="A470" s="108">
        <v>463</v>
      </c>
      <c r="B470" s="108">
        <f t="shared" si="79"/>
        <v>368</v>
      </c>
      <c r="C470" s="108">
        <f t="shared" si="80"/>
        <v>0</v>
      </c>
      <c r="F470" s="108" t="s">
        <v>1990</v>
      </c>
      <c r="G470" s="108">
        <v>11</v>
      </c>
      <c r="H470" s="108">
        <v>20</v>
      </c>
      <c r="I470" s="108">
        <v>15</v>
      </c>
      <c r="J470" s="108">
        <v>12</v>
      </c>
      <c r="K470" s="108">
        <v>59</v>
      </c>
      <c r="L470" s="108">
        <v>29</v>
      </c>
      <c r="M470" s="108" t="s">
        <v>1991</v>
      </c>
      <c r="N470" s="108" t="s">
        <v>1992</v>
      </c>
    </row>
    <row r="471" spans="1:14">
      <c r="A471" s="108">
        <v>464</v>
      </c>
      <c r="B471" s="108">
        <f t="shared" si="79"/>
        <v>368</v>
      </c>
      <c r="C471" s="108">
        <f t="shared" si="80"/>
        <v>0</v>
      </c>
      <c r="F471" s="108" t="s">
        <v>1993</v>
      </c>
      <c r="G471" s="108">
        <v>8</v>
      </c>
      <c r="H471" s="108">
        <v>51</v>
      </c>
      <c r="I471" s="108">
        <v>18</v>
      </c>
      <c r="J471" s="108">
        <v>11</v>
      </c>
      <c r="K471" s="108">
        <v>48</v>
      </c>
      <c r="L471" s="108">
        <v>0</v>
      </c>
      <c r="M471" s="108" t="s">
        <v>1994</v>
      </c>
      <c r="N471" s="108" t="s">
        <v>1995</v>
      </c>
    </row>
    <row r="472" spans="1:14">
      <c r="A472" s="108">
        <v>465</v>
      </c>
      <c r="B472" s="108">
        <f t="shared" si="79"/>
        <v>368</v>
      </c>
      <c r="C472" s="108">
        <f t="shared" si="80"/>
        <v>0</v>
      </c>
      <c r="F472" s="108" t="s">
        <v>1996</v>
      </c>
      <c r="G472" s="108">
        <v>12</v>
      </c>
      <c r="H472" s="108">
        <v>39</v>
      </c>
      <c r="I472" s="108">
        <v>28</v>
      </c>
      <c r="J472" s="108">
        <v>-26</v>
      </c>
      <c r="K472" s="108">
        <v>-44</v>
      </c>
      <c r="L472" s="108">
        <v>-39</v>
      </c>
      <c r="M472" s="108" t="s">
        <v>1997</v>
      </c>
      <c r="N472" s="108" t="s">
        <v>1998</v>
      </c>
    </row>
    <row r="473" spans="1:14">
      <c r="A473" s="108">
        <v>466</v>
      </c>
      <c r="B473" s="108">
        <f t="shared" si="79"/>
        <v>368</v>
      </c>
      <c r="C473" s="108">
        <f t="shared" si="80"/>
        <v>0</v>
      </c>
      <c r="F473" s="108" t="s">
        <v>1999</v>
      </c>
      <c r="G473" s="108">
        <v>18</v>
      </c>
      <c r="H473" s="108">
        <v>31</v>
      </c>
      <c r="I473" s="108">
        <v>23.1</v>
      </c>
      <c r="J473" s="108">
        <v>-32</v>
      </c>
      <c r="K473" s="108">
        <v>-20</v>
      </c>
      <c r="L473" s="108">
        <v>-53</v>
      </c>
      <c r="M473" s="108" t="s">
        <v>2000</v>
      </c>
      <c r="N473" s="108" t="s">
        <v>2001</v>
      </c>
    </row>
    <row r="474" spans="1:14">
      <c r="A474" s="108">
        <v>467</v>
      </c>
      <c r="B474" s="108">
        <f t="shared" si="79"/>
        <v>368</v>
      </c>
      <c r="C474" s="108">
        <f t="shared" si="80"/>
        <v>0</v>
      </c>
      <c r="F474" s="108" t="s">
        <v>2002</v>
      </c>
      <c r="G474" s="108">
        <v>18</v>
      </c>
      <c r="H474" s="108">
        <v>43</v>
      </c>
      <c r="I474" s="108">
        <v>12.8</v>
      </c>
      <c r="J474" s="108">
        <v>-32</v>
      </c>
      <c r="K474" s="108">
        <v>-17</v>
      </c>
      <c r="L474" s="108">
        <v>-32</v>
      </c>
      <c r="M474" s="108" t="s">
        <v>2003</v>
      </c>
      <c r="N474" s="108" t="s">
        <v>2004</v>
      </c>
    </row>
    <row r="475" spans="1:14">
      <c r="A475" s="108">
        <v>468</v>
      </c>
      <c r="B475" s="108">
        <f t="shared" si="79"/>
        <v>368</v>
      </c>
      <c r="C475" s="108">
        <f t="shared" si="80"/>
        <v>0</v>
      </c>
      <c r="F475" s="108" t="s">
        <v>2005</v>
      </c>
      <c r="G475" s="108">
        <v>19</v>
      </c>
      <c r="H475" s="108">
        <v>53</v>
      </c>
      <c r="I475" s="108">
        <v>46.1</v>
      </c>
      <c r="J475" s="108">
        <v>18</v>
      </c>
      <c r="K475" s="108">
        <v>46</v>
      </c>
      <c r="L475" s="108">
        <v>45</v>
      </c>
      <c r="M475" s="108" t="s">
        <v>2006</v>
      </c>
      <c r="N475" s="108" t="s">
        <v>2007</v>
      </c>
    </row>
    <row r="476" spans="1:14">
      <c r="A476" s="108">
        <v>469</v>
      </c>
      <c r="B476" s="108">
        <f t="shared" si="79"/>
        <v>368</v>
      </c>
      <c r="C476" s="108">
        <f t="shared" si="80"/>
        <v>0</v>
      </c>
      <c r="F476" s="108" t="s">
        <v>2008</v>
      </c>
      <c r="G476" s="108">
        <v>20</v>
      </c>
      <c r="H476" s="108">
        <v>53</v>
      </c>
      <c r="I476" s="108">
        <v>27.7</v>
      </c>
      <c r="J476" s="108">
        <v>-12</v>
      </c>
      <c r="K476" s="108">
        <v>-32</v>
      </c>
      <c r="L476" s="108">
        <v>-14</v>
      </c>
      <c r="M476" s="108" t="s">
        <v>2009</v>
      </c>
      <c r="N476" s="108" t="s">
        <v>2010</v>
      </c>
    </row>
    <row r="477" spans="1:14">
      <c r="A477" s="108">
        <v>470</v>
      </c>
      <c r="B477" s="108">
        <f t="shared" si="79"/>
        <v>368</v>
      </c>
      <c r="C477" s="108">
        <f t="shared" si="80"/>
        <v>0</v>
      </c>
      <c r="F477" s="108" t="s">
        <v>2011</v>
      </c>
      <c r="G477" s="108">
        <v>20</v>
      </c>
      <c r="H477" s="108">
        <v>58</v>
      </c>
      <c r="I477" s="108">
        <v>59</v>
      </c>
      <c r="J477" s="108">
        <v>-12</v>
      </c>
      <c r="K477" s="108">
        <v>-38</v>
      </c>
      <c r="L477" s="108">
        <v>0</v>
      </c>
      <c r="M477" s="108" t="s">
        <v>2012</v>
      </c>
      <c r="N477" s="108" t="s">
        <v>2013</v>
      </c>
    </row>
    <row r="478" spans="1:14">
      <c r="A478" s="108">
        <v>471</v>
      </c>
      <c r="B478" s="108">
        <f t="shared" si="79"/>
        <v>368</v>
      </c>
      <c r="C478" s="108">
        <f t="shared" si="80"/>
        <v>0</v>
      </c>
      <c r="F478" s="108" t="s">
        <v>2014</v>
      </c>
      <c r="G478" s="108">
        <v>1</v>
      </c>
      <c r="H478" s="108">
        <v>36</v>
      </c>
      <c r="I478" s="108">
        <v>41.8</v>
      </c>
      <c r="J478" s="108">
        <v>15</v>
      </c>
      <c r="K478" s="108">
        <v>47</v>
      </c>
      <c r="L478" s="108">
        <v>0</v>
      </c>
      <c r="M478" s="108" t="s">
        <v>2015</v>
      </c>
      <c r="N478" s="108" t="s">
        <v>2016</v>
      </c>
    </row>
    <row r="479" spans="1:14">
      <c r="A479" s="108">
        <v>472</v>
      </c>
      <c r="B479" s="108">
        <f t="shared" si="79"/>
        <v>368</v>
      </c>
      <c r="C479" s="108">
        <f t="shared" si="80"/>
        <v>0</v>
      </c>
      <c r="F479" s="108" t="s">
        <v>2017</v>
      </c>
      <c r="G479" s="108">
        <v>20</v>
      </c>
      <c r="H479" s="108">
        <v>6</v>
      </c>
      <c r="I479" s="108">
        <v>4.8</v>
      </c>
      <c r="J479" s="108">
        <v>-21</v>
      </c>
      <c r="K479" s="108">
        <v>-55</v>
      </c>
      <c r="L479" s="108">
        <v>-20</v>
      </c>
      <c r="M479" s="108" t="s">
        <v>2018</v>
      </c>
      <c r="N479" s="108" t="s">
        <v>2019</v>
      </c>
    </row>
    <row r="480" spans="1:14">
      <c r="A480" s="108">
        <v>473</v>
      </c>
      <c r="B480" s="108">
        <f t="shared" si="79"/>
        <v>368</v>
      </c>
      <c r="C480" s="108">
        <f t="shared" si="80"/>
        <v>0</v>
      </c>
      <c r="F480" s="108" t="s">
        <v>2020</v>
      </c>
      <c r="G480" s="108">
        <v>1</v>
      </c>
      <c r="H480" s="108">
        <v>42</v>
      </c>
      <c r="I480" s="108">
        <v>19.7</v>
      </c>
      <c r="J480" s="108">
        <v>51</v>
      </c>
      <c r="K480" s="108">
        <v>32</v>
      </c>
      <c r="L480" s="108">
        <v>50</v>
      </c>
      <c r="M480" s="108" t="s">
        <v>2021</v>
      </c>
      <c r="N480" s="108" t="s">
        <v>2022</v>
      </c>
    </row>
    <row r="481" spans="1:14">
      <c r="A481" s="108">
        <v>474</v>
      </c>
      <c r="B481" s="108">
        <f t="shared" si="79"/>
        <v>368</v>
      </c>
      <c r="C481" s="108">
        <f t="shared" si="80"/>
        <v>0</v>
      </c>
      <c r="F481" s="108" t="s">
        <v>2023</v>
      </c>
      <c r="G481" s="108">
        <v>2</v>
      </c>
      <c r="H481" s="108">
        <v>42</v>
      </c>
      <c r="I481" s="108">
        <v>40.799999999999997</v>
      </c>
      <c r="J481" s="108">
        <v>0</v>
      </c>
      <c r="K481" s="108">
        <v>0</v>
      </c>
      <c r="L481" s="108">
        <v>-48</v>
      </c>
      <c r="M481" s="108" t="s">
        <v>2024</v>
      </c>
      <c r="N481" s="108" t="s">
        <v>2025</v>
      </c>
    </row>
    <row r="482" spans="1:14">
      <c r="A482" s="108">
        <v>475</v>
      </c>
      <c r="B482" s="108">
        <f t="shared" si="79"/>
        <v>368</v>
      </c>
      <c r="C482" s="108">
        <f t="shared" si="80"/>
        <v>0</v>
      </c>
      <c r="F482" s="108" t="s">
        <v>2026</v>
      </c>
      <c r="G482" s="108">
        <v>5</v>
      </c>
      <c r="H482" s="108">
        <v>46</v>
      </c>
      <c r="I482" s="108">
        <v>45.8</v>
      </c>
      <c r="J482" s="108">
        <v>0</v>
      </c>
      <c r="K482" s="108">
        <v>4</v>
      </c>
      <c r="L482" s="108">
        <v>45</v>
      </c>
      <c r="M482" s="108" t="s">
        <v>2027</v>
      </c>
      <c r="N482" s="108" t="s">
        <v>2028</v>
      </c>
    </row>
    <row r="483" spans="1:14">
      <c r="A483" s="108">
        <v>476</v>
      </c>
      <c r="B483" s="108">
        <f t="shared" si="79"/>
        <v>368</v>
      </c>
      <c r="C483" s="108">
        <f t="shared" si="80"/>
        <v>0</v>
      </c>
      <c r="F483" s="108" t="s">
        <v>2029</v>
      </c>
      <c r="G483" s="108">
        <v>5</v>
      </c>
      <c r="H483" s="108">
        <v>24</v>
      </c>
      <c r="I483" s="108">
        <v>10.6</v>
      </c>
      <c r="J483" s="108">
        <v>-24</v>
      </c>
      <c r="K483" s="108">
        <v>-31</v>
      </c>
      <c r="L483" s="108">
        <v>-27</v>
      </c>
      <c r="M483" s="108" t="s">
        <v>2030</v>
      </c>
      <c r="N483" s="108" t="s">
        <v>2031</v>
      </c>
    </row>
    <row r="484" spans="1:14">
      <c r="A484" s="108">
        <v>477</v>
      </c>
      <c r="B484" s="108">
        <f t="shared" si="79"/>
        <v>368</v>
      </c>
      <c r="C484" s="108">
        <f t="shared" si="80"/>
        <v>0</v>
      </c>
      <c r="F484" s="108" t="s">
        <v>2032</v>
      </c>
      <c r="G484" s="108">
        <v>16</v>
      </c>
      <c r="H484" s="108">
        <v>17</v>
      </c>
      <c r="I484" s="108">
        <v>2.4</v>
      </c>
      <c r="J484" s="108">
        <v>-22</v>
      </c>
      <c r="K484" s="108">
        <v>-58</v>
      </c>
      <c r="L484" s="108">
        <v>-34</v>
      </c>
      <c r="M484" s="108" t="s">
        <v>2033</v>
      </c>
      <c r="N484" s="108" t="s">
        <v>2034</v>
      </c>
    </row>
    <row r="485" spans="1:14">
      <c r="A485" s="108">
        <v>478</v>
      </c>
      <c r="B485" s="108">
        <f t="shared" si="79"/>
        <v>368</v>
      </c>
      <c r="C485" s="108">
        <f t="shared" si="80"/>
        <v>0</v>
      </c>
      <c r="F485" s="108" t="s">
        <v>2035</v>
      </c>
      <c r="G485" s="108">
        <v>9</v>
      </c>
      <c r="H485" s="108">
        <v>55</v>
      </c>
      <c r="I485" s="108">
        <v>33.200000000000003</v>
      </c>
      <c r="J485" s="108">
        <v>69</v>
      </c>
      <c r="K485" s="108">
        <v>3</v>
      </c>
      <c r="L485" s="108">
        <v>55</v>
      </c>
      <c r="M485" s="108" t="s">
        <v>2036</v>
      </c>
      <c r="N485" s="108" t="s">
        <v>2037</v>
      </c>
    </row>
    <row r="486" spans="1:14">
      <c r="A486" s="108">
        <v>479</v>
      </c>
      <c r="B486" s="108">
        <f t="shared" si="79"/>
        <v>368</v>
      </c>
      <c r="C486" s="108">
        <f t="shared" si="80"/>
        <v>0</v>
      </c>
      <c r="F486" s="108" t="s">
        <v>2038</v>
      </c>
      <c r="G486" s="108">
        <v>9</v>
      </c>
      <c r="H486" s="108">
        <v>55</v>
      </c>
      <c r="I486" s="108">
        <v>52.4</v>
      </c>
      <c r="J486" s="108">
        <v>69</v>
      </c>
      <c r="K486" s="108">
        <v>40</v>
      </c>
      <c r="L486" s="108">
        <v>47</v>
      </c>
      <c r="M486" s="108" t="s">
        <v>2039</v>
      </c>
      <c r="N486" s="108" t="s">
        <v>2040</v>
      </c>
    </row>
    <row r="487" spans="1:14">
      <c r="A487" s="108">
        <v>480</v>
      </c>
      <c r="B487" s="108">
        <f t="shared" si="79"/>
        <v>368</v>
      </c>
      <c r="C487" s="108">
        <f t="shared" si="80"/>
        <v>0</v>
      </c>
      <c r="F487" s="108" t="s">
        <v>2041</v>
      </c>
      <c r="G487" s="108">
        <v>13</v>
      </c>
      <c r="H487" s="108">
        <v>37</v>
      </c>
      <c r="I487" s="108">
        <v>0.9</v>
      </c>
      <c r="J487" s="108">
        <v>-29</v>
      </c>
      <c r="K487" s="108">
        <v>-51</v>
      </c>
      <c r="L487" s="108">
        <v>-57</v>
      </c>
      <c r="M487" s="108" t="s">
        <v>2042</v>
      </c>
      <c r="N487" s="108" t="s">
        <v>2043</v>
      </c>
    </row>
    <row r="488" spans="1:14">
      <c r="A488" s="108">
        <v>481</v>
      </c>
      <c r="B488" s="108">
        <f t="shared" si="79"/>
        <v>368</v>
      </c>
      <c r="C488" s="108">
        <f t="shared" si="80"/>
        <v>0</v>
      </c>
      <c r="F488" s="108" t="s">
        <v>2044</v>
      </c>
      <c r="G488" s="108">
        <v>12</v>
      </c>
      <c r="H488" s="108">
        <v>25</v>
      </c>
      <c r="I488" s="108">
        <v>3.7</v>
      </c>
      <c r="J488" s="108">
        <v>12</v>
      </c>
      <c r="K488" s="108">
        <v>53</v>
      </c>
      <c r="L488" s="108">
        <v>13</v>
      </c>
      <c r="M488" s="108" t="s">
        <v>2045</v>
      </c>
      <c r="N488" s="108" t="s">
        <v>2046</v>
      </c>
    </row>
    <row r="489" spans="1:14">
      <c r="A489" s="108">
        <v>482</v>
      </c>
      <c r="B489" s="108">
        <f t="shared" si="79"/>
        <v>368</v>
      </c>
      <c r="C489" s="108">
        <f t="shared" si="80"/>
        <v>0</v>
      </c>
      <c r="F489" s="108" t="s">
        <v>2047</v>
      </c>
      <c r="G489" s="108">
        <v>12</v>
      </c>
      <c r="H489" s="108">
        <v>25</v>
      </c>
      <c r="I489" s="108">
        <v>24.1</v>
      </c>
      <c r="J489" s="108">
        <v>18</v>
      </c>
      <c r="K489" s="108">
        <v>11</v>
      </c>
      <c r="L489" s="108">
        <v>28</v>
      </c>
      <c r="M489" s="108" t="s">
        <v>2048</v>
      </c>
      <c r="N489" s="108" t="s">
        <v>2049</v>
      </c>
    </row>
    <row r="490" spans="1:14">
      <c r="A490" s="108">
        <v>483</v>
      </c>
      <c r="B490" s="108">
        <f t="shared" si="79"/>
        <v>368</v>
      </c>
      <c r="C490" s="108">
        <f t="shared" si="80"/>
        <v>0</v>
      </c>
      <c r="F490" s="108" t="s">
        <v>2050</v>
      </c>
      <c r="G490" s="108">
        <v>12</v>
      </c>
      <c r="H490" s="108">
        <v>26</v>
      </c>
      <c r="I490" s="108">
        <v>11.8</v>
      </c>
      <c r="J490" s="108">
        <v>12</v>
      </c>
      <c r="K490" s="108">
        <v>56</v>
      </c>
      <c r="L490" s="108">
        <v>45</v>
      </c>
      <c r="M490" s="108" t="s">
        <v>2051</v>
      </c>
      <c r="N490" s="108" t="s">
        <v>2052</v>
      </c>
    </row>
    <row r="491" spans="1:14">
      <c r="A491" s="108">
        <v>484</v>
      </c>
      <c r="B491" s="108">
        <f t="shared" si="79"/>
        <v>368</v>
      </c>
      <c r="C491" s="108">
        <f t="shared" si="80"/>
        <v>0</v>
      </c>
      <c r="F491" s="108" t="s">
        <v>2053</v>
      </c>
      <c r="G491" s="108">
        <v>12</v>
      </c>
      <c r="H491" s="108">
        <v>30</v>
      </c>
      <c r="I491" s="108">
        <v>49.4</v>
      </c>
      <c r="J491" s="108">
        <v>12</v>
      </c>
      <c r="K491" s="108">
        <v>23</v>
      </c>
      <c r="L491" s="108">
        <v>28</v>
      </c>
      <c r="M491" s="108" t="s">
        <v>2054</v>
      </c>
      <c r="N491" s="108" t="s">
        <v>2055</v>
      </c>
    </row>
    <row r="492" spans="1:14">
      <c r="A492" s="108">
        <v>485</v>
      </c>
      <c r="B492" s="108">
        <f t="shared" si="79"/>
        <v>368</v>
      </c>
      <c r="C492" s="108">
        <f t="shared" si="80"/>
        <v>0</v>
      </c>
      <c r="F492" s="108" t="s">
        <v>2056</v>
      </c>
      <c r="G492" s="108">
        <v>12</v>
      </c>
      <c r="H492" s="108">
        <v>31</v>
      </c>
      <c r="I492" s="108">
        <v>59.2</v>
      </c>
      <c r="J492" s="108">
        <v>14</v>
      </c>
      <c r="K492" s="108">
        <v>25</v>
      </c>
      <c r="L492" s="108">
        <v>13</v>
      </c>
      <c r="M492" s="108" t="s">
        <v>2057</v>
      </c>
      <c r="N492" s="108" t="s">
        <v>2058</v>
      </c>
    </row>
    <row r="493" spans="1:14">
      <c r="A493" s="108">
        <v>486</v>
      </c>
      <c r="B493" s="108">
        <f t="shared" si="79"/>
        <v>368</v>
      </c>
      <c r="C493" s="108">
        <f t="shared" si="80"/>
        <v>0</v>
      </c>
      <c r="F493" s="108" t="s">
        <v>2059</v>
      </c>
      <c r="G493" s="108">
        <v>12</v>
      </c>
      <c r="H493" s="108">
        <v>35</v>
      </c>
      <c r="I493" s="108">
        <v>39.799999999999997</v>
      </c>
      <c r="J493" s="108">
        <v>12</v>
      </c>
      <c r="K493" s="108">
        <v>33</v>
      </c>
      <c r="L493" s="108">
        <v>23</v>
      </c>
      <c r="M493" s="108" t="s">
        <v>2060</v>
      </c>
      <c r="N493" s="108" t="s">
        <v>2061</v>
      </c>
    </row>
    <row r="494" spans="1:14">
      <c r="A494" s="108">
        <v>487</v>
      </c>
      <c r="B494" s="108">
        <f t="shared" si="79"/>
        <v>368</v>
      </c>
      <c r="C494" s="108">
        <f t="shared" si="80"/>
        <v>0</v>
      </c>
      <c r="F494" s="108" t="s">
        <v>2062</v>
      </c>
      <c r="G494" s="108">
        <v>12</v>
      </c>
      <c r="H494" s="108">
        <v>36</v>
      </c>
      <c r="I494" s="108">
        <v>49.8</v>
      </c>
      <c r="J494" s="108">
        <v>13</v>
      </c>
      <c r="K494" s="108">
        <v>9</v>
      </c>
      <c r="L494" s="108">
        <v>46</v>
      </c>
      <c r="M494" s="108" t="s">
        <v>2063</v>
      </c>
      <c r="N494" s="108" t="s">
        <v>2064</v>
      </c>
    </row>
    <row r="495" spans="1:14">
      <c r="A495" s="108">
        <v>488</v>
      </c>
      <c r="B495" s="108">
        <f t="shared" si="79"/>
        <v>368</v>
      </c>
      <c r="C495" s="108">
        <f t="shared" si="80"/>
        <v>0</v>
      </c>
      <c r="F495" s="108" t="s">
        <v>2065</v>
      </c>
      <c r="G495" s="108">
        <v>12</v>
      </c>
      <c r="H495" s="108">
        <v>35</v>
      </c>
      <c r="I495" s="108">
        <v>26.4</v>
      </c>
      <c r="J495" s="108">
        <v>14</v>
      </c>
      <c r="K495" s="108">
        <v>29</v>
      </c>
      <c r="L495" s="108">
        <v>47</v>
      </c>
      <c r="M495" s="108" t="s">
        <v>2066</v>
      </c>
      <c r="N495" s="108" t="s">
        <v>2067</v>
      </c>
    </row>
    <row r="496" spans="1:14">
      <c r="A496" s="108">
        <v>489</v>
      </c>
      <c r="B496" s="108">
        <f t="shared" si="79"/>
        <v>368</v>
      </c>
      <c r="C496" s="108">
        <f t="shared" si="80"/>
        <v>0</v>
      </c>
      <c r="F496" s="108" t="s">
        <v>2068</v>
      </c>
      <c r="G496" s="108">
        <v>17</v>
      </c>
      <c r="H496" s="108">
        <v>17</v>
      </c>
      <c r="I496" s="108">
        <v>7.4</v>
      </c>
      <c r="J496" s="108">
        <v>43</v>
      </c>
      <c r="K496" s="108">
        <v>8</v>
      </c>
      <c r="L496" s="108">
        <v>9</v>
      </c>
      <c r="M496" s="108" t="s">
        <v>2069</v>
      </c>
      <c r="N496" s="108" t="s">
        <v>2070</v>
      </c>
    </row>
    <row r="497" spans="1:14">
      <c r="A497" s="108">
        <v>490</v>
      </c>
      <c r="B497" s="108">
        <f t="shared" si="79"/>
        <v>368</v>
      </c>
      <c r="C497" s="108">
        <f t="shared" si="80"/>
        <v>0</v>
      </c>
      <c r="F497" s="108" t="s">
        <v>2071</v>
      </c>
      <c r="G497" s="108">
        <v>7</v>
      </c>
      <c r="H497" s="108">
        <v>44</v>
      </c>
      <c r="I497" s="108">
        <v>30</v>
      </c>
      <c r="J497" s="108">
        <v>-23</v>
      </c>
      <c r="K497" s="108">
        <v>-51</v>
      </c>
      <c r="L497" s="108">
        <v>-2</v>
      </c>
      <c r="M497" s="108" t="s">
        <v>2072</v>
      </c>
      <c r="N497" s="108" t="s">
        <v>2073</v>
      </c>
    </row>
    <row r="498" spans="1:14">
      <c r="A498" s="108">
        <v>491</v>
      </c>
      <c r="B498" s="108">
        <f t="shared" si="79"/>
        <v>368</v>
      </c>
      <c r="C498" s="108">
        <f t="shared" si="80"/>
        <v>0</v>
      </c>
      <c r="F498" s="108" t="s">
        <v>2074</v>
      </c>
      <c r="G498" s="108">
        <v>12</v>
      </c>
      <c r="H498" s="108">
        <v>50</v>
      </c>
      <c r="I498" s="108">
        <v>53.1</v>
      </c>
      <c r="J498" s="108">
        <v>41</v>
      </c>
      <c r="K498" s="108">
        <v>7</v>
      </c>
      <c r="L498" s="108">
        <v>13</v>
      </c>
      <c r="M498" s="108" t="s">
        <v>2075</v>
      </c>
      <c r="N498" s="108" t="s">
        <v>2076</v>
      </c>
    </row>
    <row r="499" spans="1:14">
      <c r="A499" s="108">
        <v>492</v>
      </c>
      <c r="B499" s="108">
        <f t="shared" si="79"/>
        <v>368</v>
      </c>
      <c r="C499" s="108">
        <f t="shared" si="80"/>
        <v>0</v>
      </c>
      <c r="F499" s="108" t="s">
        <v>2077</v>
      </c>
      <c r="G499" s="108">
        <v>10</v>
      </c>
      <c r="H499" s="108">
        <v>43</v>
      </c>
      <c r="I499" s="108">
        <v>57.7</v>
      </c>
      <c r="J499" s="108">
        <v>11</v>
      </c>
      <c r="K499" s="108">
        <v>42</v>
      </c>
      <c r="L499" s="108">
        <v>13</v>
      </c>
      <c r="M499" s="108" t="s">
        <v>2078</v>
      </c>
      <c r="N499" s="108" t="s">
        <v>2079</v>
      </c>
    </row>
    <row r="500" spans="1:14">
      <c r="A500" s="108">
        <v>493</v>
      </c>
      <c r="B500" s="108">
        <f t="shared" si="79"/>
        <v>368</v>
      </c>
      <c r="C500" s="108">
        <f t="shared" si="80"/>
        <v>0</v>
      </c>
      <c r="F500" s="108" t="s">
        <v>2080</v>
      </c>
      <c r="G500" s="108">
        <v>10</v>
      </c>
      <c r="H500" s="108">
        <v>46</v>
      </c>
      <c r="I500" s="108">
        <v>45.8</v>
      </c>
      <c r="J500" s="108">
        <v>11</v>
      </c>
      <c r="K500" s="108">
        <v>49</v>
      </c>
      <c r="L500" s="108">
        <v>12</v>
      </c>
      <c r="M500" s="108" t="s">
        <v>2081</v>
      </c>
      <c r="N500" s="108" t="s">
        <v>2082</v>
      </c>
    </row>
    <row r="501" spans="1:14">
      <c r="A501" s="108">
        <v>494</v>
      </c>
      <c r="B501" s="108">
        <f t="shared" si="79"/>
        <v>368</v>
      </c>
      <c r="C501" s="108">
        <f t="shared" si="80"/>
        <v>0</v>
      </c>
      <c r="F501" s="108" t="s">
        <v>2083</v>
      </c>
      <c r="G501" s="108">
        <v>11</v>
      </c>
      <c r="H501" s="108">
        <v>14</v>
      </c>
      <c r="I501" s="108">
        <v>47.7</v>
      </c>
      <c r="J501" s="108">
        <v>55</v>
      </c>
      <c r="K501" s="108">
        <v>1</v>
      </c>
      <c r="L501" s="108">
        <v>9</v>
      </c>
      <c r="M501" s="108" t="s">
        <v>2084</v>
      </c>
      <c r="N501" s="108" t="s">
        <v>2085</v>
      </c>
    </row>
    <row r="502" spans="1:14">
      <c r="A502" s="108">
        <v>495</v>
      </c>
      <c r="B502" s="108">
        <f t="shared" si="79"/>
        <v>368</v>
      </c>
      <c r="C502" s="108">
        <f t="shared" si="80"/>
        <v>0</v>
      </c>
      <c r="F502" s="108" t="s">
        <v>2086</v>
      </c>
      <c r="G502" s="108">
        <v>12</v>
      </c>
      <c r="H502" s="108">
        <v>13</v>
      </c>
      <c r="I502" s="108">
        <v>48.3</v>
      </c>
      <c r="J502" s="108">
        <v>14</v>
      </c>
      <c r="K502" s="108">
        <v>54</v>
      </c>
      <c r="L502" s="108">
        <v>2</v>
      </c>
      <c r="M502" s="108" t="s">
        <v>2087</v>
      </c>
      <c r="N502" s="108" t="s">
        <v>2088</v>
      </c>
    </row>
    <row r="503" spans="1:14">
      <c r="A503" s="108">
        <v>496</v>
      </c>
      <c r="B503" s="108">
        <f t="shared" si="79"/>
        <v>368</v>
      </c>
      <c r="C503" s="108">
        <f t="shared" si="80"/>
        <v>0</v>
      </c>
      <c r="F503" s="108" t="s">
        <v>2089</v>
      </c>
      <c r="G503" s="108">
        <v>12</v>
      </c>
      <c r="H503" s="108">
        <v>18</v>
      </c>
      <c r="I503" s="108">
        <v>49.6</v>
      </c>
      <c r="J503" s="108">
        <v>14</v>
      </c>
      <c r="K503" s="108">
        <v>24</v>
      </c>
      <c r="L503" s="108">
        <v>59</v>
      </c>
      <c r="M503" s="108" t="s">
        <v>2090</v>
      </c>
      <c r="N503" s="108" t="s">
        <v>2091</v>
      </c>
    </row>
    <row r="504" spans="1:14">
      <c r="A504" s="108">
        <v>497</v>
      </c>
      <c r="B504" s="108">
        <f t="shared" si="79"/>
        <v>368</v>
      </c>
      <c r="C504" s="108">
        <f t="shared" si="80"/>
        <v>0</v>
      </c>
      <c r="F504" s="108" t="s">
        <v>2092</v>
      </c>
      <c r="G504" s="108">
        <v>12</v>
      </c>
      <c r="H504" s="108">
        <v>22</v>
      </c>
      <c r="I504" s="108">
        <v>54.9</v>
      </c>
      <c r="J504" s="108">
        <v>15</v>
      </c>
      <c r="K504" s="108">
        <v>49</v>
      </c>
      <c r="L504" s="108">
        <v>21</v>
      </c>
      <c r="M504" s="108" t="s">
        <v>2093</v>
      </c>
      <c r="N504" s="108" t="s">
        <v>2094</v>
      </c>
    </row>
    <row r="505" spans="1:14">
      <c r="A505" s="108">
        <v>498</v>
      </c>
      <c r="B505" s="108">
        <f t="shared" si="79"/>
        <v>368</v>
      </c>
      <c r="C505" s="108">
        <f t="shared" si="80"/>
        <v>0</v>
      </c>
      <c r="F505" s="108" t="s">
        <v>2095</v>
      </c>
      <c r="G505" s="108">
        <v>14</v>
      </c>
      <c r="H505" s="108">
        <v>3</v>
      </c>
      <c r="I505" s="108">
        <v>12.6</v>
      </c>
      <c r="J505" s="108">
        <v>54</v>
      </c>
      <c r="K505" s="108">
        <v>20</v>
      </c>
      <c r="L505" s="108">
        <v>55</v>
      </c>
      <c r="M505" s="108" t="s">
        <v>2096</v>
      </c>
      <c r="N505" s="108" t="s">
        <v>2097</v>
      </c>
    </row>
    <row r="506" spans="1:14">
      <c r="A506" s="108">
        <v>499</v>
      </c>
      <c r="B506" s="108">
        <f t="shared" si="79"/>
        <v>368</v>
      </c>
      <c r="C506" s="108">
        <f t="shared" si="80"/>
        <v>0</v>
      </c>
      <c r="F506" s="108" t="s">
        <v>2098</v>
      </c>
      <c r="G506" s="108">
        <v>15</v>
      </c>
      <c r="H506" s="108">
        <v>6</v>
      </c>
      <c r="I506" s="108">
        <v>29.6</v>
      </c>
      <c r="J506" s="108">
        <v>55</v>
      </c>
      <c r="K506" s="108">
        <v>45</v>
      </c>
      <c r="L506" s="108">
        <v>48</v>
      </c>
      <c r="M506" s="108" t="s">
        <v>2099</v>
      </c>
      <c r="N506" s="108" t="s">
        <v>2100</v>
      </c>
    </row>
    <row r="507" spans="1:14">
      <c r="A507" s="108">
        <v>500</v>
      </c>
      <c r="B507" s="108">
        <f t="shared" si="79"/>
        <v>368</v>
      </c>
      <c r="C507" s="108">
        <f t="shared" si="80"/>
        <v>0</v>
      </c>
      <c r="F507" s="108" t="s">
        <v>2101</v>
      </c>
      <c r="G507" s="108">
        <v>1</v>
      </c>
      <c r="H507" s="108">
        <v>33</v>
      </c>
      <c r="I507" s="108">
        <v>23</v>
      </c>
      <c r="J507" s="108">
        <v>60</v>
      </c>
      <c r="K507" s="108">
        <v>39</v>
      </c>
      <c r="L507" s="108">
        <v>0</v>
      </c>
      <c r="M507" s="108" t="s">
        <v>2102</v>
      </c>
      <c r="N507" s="108" t="s">
        <v>2103</v>
      </c>
    </row>
    <row r="508" spans="1:14">
      <c r="A508" s="108">
        <v>501</v>
      </c>
      <c r="B508" s="108">
        <f t="shared" si="79"/>
        <v>368</v>
      </c>
      <c r="C508" s="108">
        <f t="shared" si="80"/>
        <v>0</v>
      </c>
      <c r="F508" s="108" t="s">
        <v>2104</v>
      </c>
      <c r="G508" s="108">
        <v>12</v>
      </c>
      <c r="H508" s="108">
        <v>39</v>
      </c>
      <c r="I508" s="108">
        <v>59.4</v>
      </c>
      <c r="J508" s="108">
        <v>-11</v>
      </c>
      <c r="K508" s="108">
        <v>-37</v>
      </c>
      <c r="L508" s="108">
        <v>-23</v>
      </c>
      <c r="M508" s="108" t="s">
        <v>2105</v>
      </c>
      <c r="N508" s="108" t="s">
        <v>2106</v>
      </c>
    </row>
    <row r="509" spans="1:14">
      <c r="A509" s="108">
        <v>502</v>
      </c>
      <c r="B509" s="108">
        <f t="shared" si="79"/>
        <v>368</v>
      </c>
      <c r="C509" s="108">
        <f t="shared" si="80"/>
        <v>0</v>
      </c>
      <c r="F509" s="108" t="s">
        <v>2107</v>
      </c>
      <c r="G509" s="108">
        <v>10</v>
      </c>
      <c r="H509" s="108">
        <v>47</v>
      </c>
      <c r="I509" s="108">
        <v>49.6</v>
      </c>
      <c r="J509" s="108">
        <v>12</v>
      </c>
      <c r="K509" s="108">
        <v>34</v>
      </c>
      <c r="L509" s="108">
        <v>54</v>
      </c>
      <c r="M509" s="108" t="s">
        <v>2108</v>
      </c>
      <c r="N509" s="108" t="s">
        <v>2109</v>
      </c>
    </row>
    <row r="510" spans="1:14">
      <c r="A510" s="108">
        <v>503</v>
      </c>
      <c r="B510" s="108">
        <f t="shared" si="79"/>
        <v>368</v>
      </c>
      <c r="C510" s="108">
        <f t="shared" si="80"/>
        <v>0</v>
      </c>
      <c r="F510" s="108" t="s">
        <v>2110</v>
      </c>
      <c r="G510" s="108">
        <v>12</v>
      </c>
      <c r="H510" s="108">
        <v>18</v>
      </c>
      <c r="I510" s="108">
        <v>57.6</v>
      </c>
      <c r="J510" s="108">
        <v>47</v>
      </c>
      <c r="K510" s="108">
        <v>18</v>
      </c>
      <c r="L510" s="108">
        <v>13</v>
      </c>
      <c r="M510" s="108" t="s">
        <v>2111</v>
      </c>
      <c r="N510" s="108" t="s">
        <v>2112</v>
      </c>
    </row>
    <row r="511" spans="1:14">
      <c r="A511" s="108">
        <v>504</v>
      </c>
      <c r="B511" s="108">
        <f t="shared" si="79"/>
        <v>368</v>
      </c>
      <c r="C511" s="108">
        <f t="shared" si="80"/>
        <v>0</v>
      </c>
      <c r="F511" s="108" t="s">
        <v>2113</v>
      </c>
      <c r="G511" s="108">
        <v>16</v>
      </c>
      <c r="H511" s="108">
        <v>32</v>
      </c>
      <c r="I511" s="108">
        <v>31.9</v>
      </c>
      <c r="J511" s="108">
        <v>-13</v>
      </c>
      <c r="K511" s="108">
        <v>-3</v>
      </c>
      <c r="L511" s="108">
        <v>-14</v>
      </c>
      <c r="M511" s="108" t="s">
        <v>2114</v>
      </c>
      <c r="N511" s="108" t="s">
        <v>2115</v>
      </c>
    </row>
    <row r="512" spans="1:14">
      <c r="A512" s="108">
        <v>505</v>
      </c>
      <c r="B512" s="108">
        <f t="shared" si="79"/>
        <v>368</v>
      </c>
      <c r="C512" s="108">
        <f t="shared" si="80"/>
        <v>0</v>
      </c>
      <c r="F512" s="108" t="s">
        <v>2116</v>
      </c>
      <c r="G512" s="108">
        <v>11</v>
      </c>
      <c r="H512" s="108">
        <v>11</v>
      </c>
      <c r="I512" s="108">
        <v>31</v>
      </c>
      <c r="J512" s="108">
        <v>55</v>
      </c>
      <c r="K512" s="108">
        <v>40</v>
      </c>
      <c r="L512" s="108">
        <v>27</v>
      </c>
      <c r="M512" s="108" t="s">
        <v>2117</v>
      </c>
      <c r="N512" s="108" t="s">
        <v>2118</v>
      </c>
    </row>
    <row r="513" spans="1:14">
      <c r="A513" s="108">
        <v>506</v>
      </c>
      <c r="B513" s="108">
        <f t="shared" si="79"/>
        <v>368</v>
      </c>
      <c r="C513" s="108">
        <f t="shared" si="80"/>
        <v>0</v>
      </c>
      <c r="F513" s="108" t="s">
        <v>2119</v>
      </c>
      <c r="G513" s="108">
        <v>11</v>
      </c>
      <c r="H513" s="108">
        <v>57</v>
      </c>
      <c r="I513" s="108">
        <v>36</v>
      </c>
      <c r="J513" s="108">
        <v>53</v>
      </c>
      <c r="K513" s="108">
        <v>22</v>
      </c>
      <c r="L513" s="108">
        <v>28</v>
      </c>
      <c r="M513" s="108" t="s">
        <v>2120</v>
      </c>
      <c r="N513" s="108" t="s">
        <v>2121</v>
      </c>
    </row>
    <row r="514" spans="1:14">
      <c r="A514" s="108">
        <v>507</v>
      </c>
      <c r="B514" s="108">
        <f t="shared" si="79"/>
        <v>368</v>
      </c>
      <c r="C514" s="108">
        <f t="shared" si="80"/>
        <v>0</v>
      </c>
      <c r="F514" s="108" t="s">
        <v>459</v>
      </c>
      <c r="M514" s="108" t="s">
        <v>2122</v>
      </c>
      <c r="N514" s="108" t="s">
        <v>458</v>
      </c>
    </row>
    <row r="515" spans="1:14">
      <c r="A515" s="108">
        <v>508</v>
      </c>
      <c r="B515" s="108">
        <f t="shared" si="79"/>
        <v>368</v>
      </c>
      <c r="C515" s="108">
        <f t="shared" si="80"/>
        <v>0</v>
      </c>
      <c r="F515" s="108" t="s">
        <v>2123</v>
      </c>
      <c r="G515" s="108">
        <v>20</v>
      </c>
      <c r="H515" s="108">
        <v>49</v>
      </c>
      <c r="I515" s="108">
        <v>58.1</v>
      </c>
      <c r="J515" s="108">
        <v>-33</v>
      </c>
      <c r="K515" s="108">
        <v>-46</v>
      </c>
      <c r="L515" s="108">
        <v>-47</v>
      </c>
      <c r="M515" s="108" t="s">
        <v>2124</v>
      </c>
      <c r="N515" s="108" t="s">
        <v>2125</v>
      </c>
    </row>
    <row r="516" spans="1:14">
      <c r="A516" s="108">
        <v>509</v>
      </c>
      <c r="B516" s="108">
        <f t="shared" si="79"/>
        <v>368</v>
      </c>
      <c r="C516" s="108">
        <f t="shared" si="80"/>
        <v>0</v>
      </c>
      <c r="F516" s="108" t="s">
        <v>2126</v>
      </c>
      <c r="G516" s="108">
        <v>21</v>
      </c>
      <c r="H516" s="108">
        <v>1</v>
      </c>
      <c r="I516" s="108">
        <v>17.5</v>
      </c>
      <c r="J516" s="108">
        <v>-32</v>
      </c>
      <c r="K516" s="108">
        <v>-15</v>
      </c>
      <c r="L516" s="108">
        <v>-28</v>
      </c>
      <c r="M516" s="108" t="s">
        <v>2127</v>
      </c>
      <c r="N516" s="108" t="s">
        <v>2128</v>
      </c>
    </row>
    <row r="517" spans="1:14">
      <c r="A517" s="108">
        <v>510</v>
      </c>
      <c r="B517" s="108">
        <f t="shared" si="79"/>
        <v>368</v>
      </c>
      <c r="C517" s="108">
        <f t="shared" si="80"/>
        <v>0</v>
      </c>
      <c r="F517" s="108" t="s">
        <v>2129</v>
      </c>
      <c r="G517" s="108">
        <v>21</v>
      </c>
      <c r="H517" s="108">
        <v>17</v>
      </c>
      <c r="I517" s="108">
        <v>56.3</v>
      </c>
      <c r="J517" s="108">
        <v>-32</v>
      </c>
      <c r="K517" s="108">
        <v>-10</v>
      </c>
      <c r="L517" s="108">
        <v>-21</v>
      </c>
      <c r="M517" s="108" t="s">
        <v>2130</v>
      </c>
      <c r="N517" s="108" t="s">
        <v>2131</v>
      </c>
    </row>
    <row r="518" spans="1:14">
      <c r="A518" s="108">
        <v>511</v>
      </c>
      <c r="B518" s="108">
        <f t="shared" ref="B518:B581" si="81">IF(B517=F518,A518,B517)</f>
        <v>368</v>
      </c>
      <c r="C518" s="108">
        <f t="shared" ref="C518:C581" si="82" xml:space="preserve"> IF(C517=F518,A518,C517)</f>
        <v>0</v>
      </c>
      <c r="F518" s="108" t="s">
        <v>469</v>
      </c>
      <c r="M518" s="108" t="s">
        <v>2132</v>
      </c>
      <c r="N518" s="108" t="s">
        <v>467</v>
      </c>
    </row>
    <row r="519" spans="1:14">
      <c r="A519" s="108">
        <v>512</v>
      </c>
      <c r="B519" s="108">
        <f t="shared" si="81"/>
        <v>368</v>
      </c>
      <c r="C519" s="108">
        <f t="shared" si="82"/>
        <v>0</v>
      </c>
      <c r="F519" s="108" t="s">
        <v>2133</v>
      </c>
      <c r="G519" s="108">
        <v>7</v>
      </c>
      <c r="H519" s="108">
        <v>41</v>
      </c>
      <c r="I519" s="108">
        <v>14.8</v>
      </c>
      <c r="J519" s="108">
        <v>-9</v>
      </c>
      <c r="K519" s="108">
        <v>-33</v>
      </c>
      <c r="L519" s="108">
        <v>-4</v>
      </c>
      <c r="M519" s="108" t="s">
        <v>2134</v>
      </c>
      <c r="N519" s="108" t="s">
        <v>2135</v>
      </c>
    </row>
    <row r="520" spans="1:14">
      <c r="A520" s="108">
        <v>513</v>
      </c>
      <c r="B520" s="108">
        <f t="shared" si="81"/>
        <v>368</v>
      </c>
      <c r="C520" s="108">
        <f t="shared" si="82"/>
        <v>0</v>
      </c>
      <c r="F520" s="108" t="s">
        <v>2136</v>
      </c>
      <c r="G520" s="108">
        <v>6</v>
      </c>
      <c r="H520" s="108">
        <v>28</v>
      </c>
      <c r="I520" s="108">
        <v>49.1</v>
      </c>
      <c r="J520" s="108">
        <v>-7</v>
      </c>
      <c r="K520" s="108">
        <v>-2</v>
      </c>
      <c r="L520" s="108">
        <v>-4</v>
      </c>
      <c r="M520" s="108" t="s">
        <v>2137</v>
      </c>
      <c r="N520" s="108" t="s">
        <v>2138</v>
      </c>
    </row>
    <row r="521" spans="1:14">
      <c r="A521" s="108">
        <v>514</v>
      </c>
      <c r="B521" s="108">
        <f t="shared" si="81"/>
        <v>368</v>
      </c>
      <c r="C521" s="108">
        <f t="shared" si="82"/>
        <v>0</v>
      </c>
      <c r="F521" s="108" t="s">
        <v>2139</v>
      </c>
      <c r="G521" s="108">
        <v>6</v>
      </c>
      <c r="H521" s="108">
        <v>14</v>
      </c>
      <c r="I521" s="108">
        <v>51.3</v>
      </c>
      <c r="J521" s="108">
        <v>-6</v>
      </c>
      <c r="K521" s="108">
        <v>-16</v>
      </c>
      <c r="L521" s="108">
        <v>-29</v>
      </c>
      <c r="M521" s="108" t="s">
        <v>2140</v>
      </c>
      <c r="N521" s="108" t="s">
        <v>2141</v>
      </c>
    </row>
    <row r="522" spans="1:14">
      <c r="A522" s="108">
        <v>515</v>
      </c>
      <c r="B522" s="108">
        <f t="shared" si="81"/>
        <v>368</v>
      </c>
      <c r="C522" s="108">
        <f t="shared" si="82"/>
        <v>0</v>
      </c>
      <c r="F522" s="108" t="s">
        <v>2142</v>
      </c>
      <c r="G522" s="108">
        <v>7</v>
      </c>
      <c r="H522" s="108">
        <v>11</v>
      </c>
      <c r="I522" s="108">
        <v>51.9</v>
      </c>
      <c r="J522" s="108">
        <v>0</v>
      </c>
      <c r="K522" s="108">
        <v>-29</v>
      </c>
      <c r="L522" s="108">
        <v>-34</v>
      </c>
      <c r="M522" s="108" t="s">
        <v>2143</v>
      </c>
      <c r="N522" s="108" t="s">
        <v>2144</v>
      </c>
    </row>
    <row r="523" spans="1:14">
      <c r="A523" s="108">
        <v>516</v>
      </c>
      <c r="B523" s="108">
        <f t="shared" si="81"/>
        <v>368</v>
      </c>
      <c r="C523" s="108">
        <f t="shared" si="82"/>
        <v>0</v>
      </c>
      <c r="F523" s="108" t="s">
        <v>2145</v>
      </c>
      <c r="G523" s="108">
        <v>6</v>
      </c>
      <c r="H523" s="108">
        <v>23</v>
      </c>
      <c r="I523" s="108">
        <v>46.1</v>
      </c>
      <c r="J523" s="108">
        <v>4</v>
      </c>
      <c r="K523" s="108">
        <v>35</v>
      </c>
      <c r="L523" s="108">
        <v>34</v>
      </c>
      <c r="M523" s="108" t="s">
        <v>2146</v>
      </c>
      <c r="N523" s="108" t="s">
        <v>2147</v>
      </c>
    </row>
    <row r="524" spans="1:14">
      <c r="A524" s="108">
        <v>517</v>
      </c>
      <c r="B524" s="108">
        <f t="shared" si="81"/>
        <v>368</v>
      </c>
      <c r="C524" s="108">
        <f t="shared" si="82"/>
        <v>0</v>
      </c>
      <c r="F524" s="108" t="s">
        <v>2148</v>
      </c>
      <c r="G524" s="108">
        <v>8</v>
      </c>
      <c r="H524" s="108">
        <v>8</v>
      </c>
      <c r="I524" s="108">
        <v>35.6</v>
      </c>
      <c r="J524" s="108">
        <v>-2</v>
      </c>
      <c r="K524" s="108">
        <v>-59</v>
      </c>
      <c r="L524" s="108">
        <v>-2</v>
      </c>
      <c r="M524" s="108" t="s">
        <v>2149</v>
      </c>
      <c r="N524" s="108" t="s">
        <v>2150</v>
      </c>
    </row>
    <row r="525" spans="1:14">
      <c r="A525" s="108">
        <v>518</v>
      </c>
      <c r="B525" s="108">
        <f t="shared" si="81"/>
        <v>368</v>
      </c>
      <c r="C525" s="108">
        <f t="shared" si="82"/>
        <v>0</v>
      </c>
      <c r="F525" s="108" t="s">
        <v>2151</v>
      </c>
      <c r="M525" s="108" t="s">
        <v>1061</v>
      </c>
      <c r="N525" s="108" t="s">
        <v>2152</v>
      </c>
    </row>
    <row r="526" spans="1:14">
      <c r="A526" s="108">
        <v>519</v>
      </c>
      <c r="B526" s="108">
        <f t="shared" si="81"/>
        <v>368</v>
      </c>
      <c r="C526" s="108">
        <f t="shared" si="82"/>
        <v>0</v>
      </c>
      <c r="F526" s="108" t="s">
        <v>2153</v>
      </c>
      <c r="G526" s="108">
        <v>0</v>
      </c>
      <c r="H526" s="108">
        <v>13</v>
      </c>
      <c r="I526" s="108">
        <v>1</v>
      </c>
      <c r="J526" s="108">
        <v>72</v>
      </c>
      <c r="K526" s="108">
        <v>31</v>
      </c>
      <c r="L526" s="108">
        <v>19</v>
      </c>
      <c r="M526" s="108" t="s">
        <v>2154</v>
      </c>
      <c r="N526" s="108" t="s">
        <v>2155</v>
      </c>
    </row>
    <row r="527" spans="1:14">
      <c r="A527" s="108">
        <v>520</v>
      </c>
      <c r="B527" s="108">
        <f t="shared" si="81"/>
        <v>368</v>
      </c>
      <c r="C527" s="108">
        <f t="shared" si="82"/>
        <v>0</v>
      </c>
      <c r="F527" s="108" t="s">
        <v>2156</v>
      </c>
      <c r="G527" s="108">
        <v>0</v>
      </c>
      <c r="H527" s="108">
        <v>29</v>
      </c>
      <c r="I527" s="108">
        <v>15.1</v>
      </c>
      <c r="J527" s="108">
        <v>2</v>
      </c>
      <c r="K527" s="108">
        <v>51</v>
      </c>
      <c r="L527" s="108">
        <v>51</v>
      </c>
      <c r="M527" s="108" t="s">
        <v>2157</v>
      </c>
      <c r="N527" s="108" t="s">
        <v>2158</v>
      </c>
    </row>
    <row r="528" spans="1:14">
      <c r="A528" s="108">
        <v>521</v>
      </c>
      <c r="B528" s="108">
        <f t="shared" si="81"/>
        <v>368</v>
      </c>
      <c r="C528" s="108">
        <f t="shared" si="82"/>
        <v>0</v>
      </c>
      <c r="F528" s="108" t="s">
        <v>2159</v>
      </c>
      <c r="G528" s="108">
        <v>0</v>
      </c>
      <c r="H528" s="108">
        <v>30</v>
      </c>
      <c r="I528" s="108">
        <v>21.9</v>
      </c>
      <c r="J528" s="108">
        <v>-33</v>
      </c>
      <c r="K528" s="108">
        <v>-14</v>
      </c>
      <c r="L528" s="108">
        <v>-43</v>
      </c>
      <c r="M528" s="108" t="s">
        <v>2160</v>
      </c>
      <c r="N528" s="108" t="s">
        <v>2161</v>
      </c>
    </row>
    <row r="529" spans="1:14">
      <c r="A529" s="108">
        <v>522</v>
      </c>
      <c r="B529" s="108">
        <f t="shared" si="81"/>
        <v>368</v>
      </c>
      <c r="C529" s="108">
        <f t="shared" si="82"/>
        <v>0</v>
      </c>
      <c r="F529" s="108" t="s">
        <v>2162</v>
      </c>
      <c r="G529" s="108">
        <v>0</v>
      </c>
      <c r="H529" s="108">
        <v>33</v>
      </c>
      <c r="I529" s="108">
        <v>12.1</v>
      </c>
      <c r="J529" s="108">
        <v>48</v>
      </c>
      <c r="K529" s="108">
        <v>30</v>
      </c>
      <c r="L529" s="108">
        <v>31</v>
      </c>
      <c r="M529" s="108" t="s">
        <v>2163</v>
      </c>
      <c r="N529" s="108" t="s">
        <v>2164</v>
      </c>
    </row>
    <row r="530" spans="1:14">
      <c r="A530" s="108">
        <v>523</v>
      </c>
      <c r="B530" s="108">
        <f t="shared" si="81"/>
        <v>368</v>
      </c>
      <c r="C530" s="108">
        <f t="shared" si="82"/>
        <v>0</v>
      </c>
      <c r="F530" s="108" t="s">
        <v>2165</v>
      </c>
      <c r="G530" s="108">
        <v>0</v>
      </c>
      <c r="H530" s="108">
        <v>34</v>
      </c>
      <c r="I530" s="108">
        <v>46.8</v>
      </c>
      <c r="J530" s="108">
        <v>-8</v>
      </c>
      <c r="K530" s="108">
        <v>-23</v>
      </c>
      <c r="L530" s="108">
        <v>-47</v>
      </c>
      <c r="M530" s="108" t="s">
        <v>2166</v>
      </c>
      <c r="N530" s="108" t="s">
        <v>2167</v>
      </c>
    </row>
    <row r="531" spans="1:14">
      <c r="A531" s="108">
        <v>524</v>
      </c>
      <c r="B531" s="108">
        <f t="shared" si="81"/>
        <v>368</v>
      </c>
      <c r="C531" s="108">
        <f t="shared" si="82"/>
        <v>0</v>
      </c>
      <c r="F531" s="108" t="s">
        <v>2168</v>
      </c>
      <c r="G531" s="108">
        <v>0</v>
      </c>
      <c r="H531" s="108">
        <v>38</v>
      </c>
      <c r="I531" s="108">
        <v>58</v>
      </c>
      <c r="J531" s="108">
        <v>48</v>
      </c>
      <c r="K531" s="108">
        <v>20</v>
      </c>
      <c r="L531" s="108">
        <v>15</v>
      </c>
      <c r="M531" s="108" t="s">
        <v>2169</v>
      </c>
      <c r="N531" s="108" t="s">
        <v>2170</v>
      </c>
    </row>
    <row r="532" spans="1:14">
      <c r="A532" s="108">
        <v>525</v>
      </c>
      <c r="B532" s="108">
        <f t="shared" si="81"/>
        <v>368</v>
      </c>
      <c r="C532" s="108">
        <f t="shared" si="82"/>
        <v>0</v>
      </c>
      <c r="F532" s="108" t="s">
        <v>2171</v>
      </c>
      <c r="G532" s="108">
        <v>0</v>
      </c>
      <c r="H532" s="108">
        <v>47</v>
      </c>
      <c r="I532" s="108">
        <v>3.3</v>
      </c>
      <c r="J532" s="108">
        <v>-11</v>
      </c>
      <c r="K532" s="108">
        <v>-52</v>
      </c>
      <c r="L532" s="108">
        <v>-19</v>
      </c>
      <c r="M532" s="108" t="s">
        <v>2172</v>
      </c>
      <c r="N532" s="108" t="s">
        <v>2155</v>
      </c>
    </row>
    <row r="533" spans="1:14">
      <c r="A533" s="108">
        <v>526</v>
      </c>
      <c r="B533" s="108">
        <f t="shared" si="81"/>
        <v>368</v>
      </c>
      <c r="C533" s="108">
        <f t="shared" si="82"/>
        <v>0</v>
      </c>
      <c r="F533" s="108" t="s">
        <v>2173</v>
      </c>
      <c r="G533" s="108">
        <v>0</v>
      </c>
      <c r="H533" s="108">
        <v>47</v>
      </c>
      <c r="I533" s="108">
        <v>8.6</v>
      </c>
      <c r="J533" s="108">
        <v>-20</v>
      </c>
      <c r="K533" s="108">
        <v>-37</v>
      </c>
      <c r="L533" s="108">
        <v>-36</v>
      </c>
      <c r="M533" s="108" t="s">
        <v>2174</v>
      </c>
      <c r="N533" s="108" t="s">
        <v>2175</v>
      </c>
    </row>
    <row r="534" spans="1:14">
      <c r="A534" s="108">
        <v>527</v>
      </c>
      <c r="B534" s="108">
        <f t="shared" si="81"/>
        <v>368</v>
      </c>
      <c r="C534" s="108">
        <f t="shared" si="82"/>
        <v>0</v>
      </c>
      <c r="F534" s="108" t="s">
        <v>2176</v>
      </c>
      <c r="G534" s="108">
        <v>0</v>
      </c>
      <c r="H534" s="108">
        <v>47</v>
      </c>
      <c r="I534" s="108">
        <v>33.1</v>
      </c>
      <c r="J534" s="108">
        <v>-25</v>
      </c>
      <c r="K534" s="108">
        <v>-17</v>
      </c>
      <c r="L534" s="108">
        <v>-20</v>
      </c>
      <c r="M534" s="108" t="s">
        <v>2177</v>
      </c>
      <c r="N534" s="108" t="s">
        <v>2178</v>
      </c>
    </row>
    <row r="535" spans="1:14">
      <c r="A535" s="108">
        <v>528</v>
      </c>
      <c r="B535" s="108">
        <f t="shared" si="81"/>
        <v>368</v>
      </c>
      <c r="C535" s="108">
        <f t="shared" si="82"/>
        <v>0</v>
      </c>
      <c r="F535" s="108" t="s">
        <v>2179</v>
      </c>
      <c r="G535" s="108">
        <v>0</v>
      </c>
      <c r="H535" s="108">
        <v>52</v>
      </c>
      <c r="I535" s="108">
        <v>4.3</v>
      </c>
      <c r="J535" s="108">
        <v>47</v>
      </c>
      <c r="K535" s="108">
        <v>33</v>
      </c>
      <c r="L535" s="108">
        <v>2</v>
      </c>
      <c r="M535" s="108" t="s">
        <v>2180</v>
      </c>
      <c r="N535" s="108" t="s">
        <v>2181</v>
      </c>
    </row>
    <row r="536" spans="1:14">
      <c r="A536" s="108">
        <v>529</v>
      </c>
      <c r="B536" s="108">
        <f t="shared" si="81"/>
        <v>368</v>
      </c>
      <c r="C536" s="108">
        <f t="shared" si="82"/>
        <v>0</v>
      </c>
      <c r="F536" s="108" t="s">
        <v>2182</v>
      </c>
      <c r="G536" s="108">
        <v>0</v>
      </c>
      <c r="H536" s="108">
        <v>52</v>
      </c>
      <c r="I536" s="108">
        <v>25.1</v>
      </c>
      <c r="J536" s="108">
        <v>56</v>
      </c>
      <c r="K536" s="108">
        <v>33</v>
      </c>
      <c r="L536" s="108">
        <v>34</v>
      </c>
      <c r="M536" s="108" t="s">
        <v>2183</v>
      </c>
      <c r="N536" s="108" t="s">
        <v>2184</v>
      </c>
    </row>
    <row r="537" spans="1:14">
      <c r="A537" s="108">
        <v>530</v>
      </c>
      <c r="B537" s="108">
        <f t="shared" si="81"/>
        <v>368</v>
      </c>
      <c r="C537" s="108">
        <f t="shared" si="82"/>
        <v>0</v>
      </c>
      <c r="F537" s="108" t="s">
        <v>2185</v>
      </c>
      <c r="G537" s="108">
        <v>0</v>
      </c>
      <c r="H537" s="108">
        <v>52</v>
      </c>
      <c r="I537" s="108">
        <v>45.2</v>
      </c>
      <c r="J537" s="108">
        <v>-26</v>
      </c>
      <c r="K537" s="108">
        <v>-34</v>
      </c>
      <c r="L537" s="108">
        <v>-57</v>
      </c>
      <c r="M537" s="108" t="s">
        <v>2186</v>
      </c>
      <c r="N537" s="108" t="s">
        <v>2187</v>
      </c>
    </row>
    <row r="538" spans="1:14">
      <c r="A538" s="108">
        <v>531</v>
      </c>
      <c r="B538" s="108">
        <f t="shared" si="81"/>
        <v>368</v>
      </c>
      <c r="C538" s="108">
        <f t="shared" si="82"/>
        <v>0</v>
      </c>
      <c r="F538" s="108" t="s">
        <v>2188</v>
      </c>
      <c r="G538" s="108">
        <v>1</v>
      </c>
      <c r="H538" s="108">
        <v>9</v>
      </c>
      <c r="I538" s="108">
        <v>27.1</v>
      </c>
      <c r="J538" s="108">
        <v>35</v>
      </c>
      <c r="K538" s="108">
        <v>43</v>
      </c>
      <c r="L538" s="108">
        <v>5</v>
      </c>
      <c r="M538" s="108" t="s">
        <v>2189</v>
      </c>
      <c r="N538" s="108" t="s">
        <v>2190</v>
      </c>
    </row>
    <row r="539" spans="1:14">
      <c r="A539" s="108">
        <v>532</v>
      </c>
      <c r="B539" s="108">
        <f t="shared" si="81"/>
        <v>368</v>
      </c>
      <c r="C539" s="108">
        <f t="shared" si="82"/>
        <v>0</v>
      </c>
      <c r="F539" s="108" t="s">
        <v>2191</v>
      </c>
      <c r="G539" s="108">
        <v>1</v>
      </c>
      <c r="H539" s="108">
        <v>19</v>
      </c>
      <c r="I539" s="108">
        <v>35</v>
      </c>
      <c r="J539" s="108">
        <v>58</v>
      </c>
      <c r="K539" s="108">
        <v>17</v>
      </c>
      <c r="L539" s="108">
        <v>1</v>
      </c>
      <c r="M539" s="108" t="s">
        <v>2192</v>
      </c>
      <c r="N539" s="108" t="s">
        <v>2155</v>
      </c>
    </row>
    <row r="540" spans="1:14">
      <c r="A540" s="108">
        <v>533</v>
      </c>
      <c r="B540" s="108">
        <f t="shared" si="81"/>
        <v>368</v>
      </c>
      <c r="C540" s="108">
        <f t="shared" si="82"/>
        <v>0</v>
      </c>
      <c r="F540" s="108" t="s">
        <v>2193</v>
      </c>
      <c r="G540" s="108">
        <v>1</v>
      </c>
      <c r="H540" s="108">
        <v>21</v>
      </c>
      <c r="I540" s="108">
        <v>46.8</v>
      </c>
      <c r="J540" s="108">
        <v>5</v>
      </c>
      <c r="K540" s="108">
        <v>15</v>
      </c>
      <c r="L540" s="108">
        <v>24</v>
      </c>
      <c r="M540" s="108" t="s">
        <v>2194</v>
      </c>
      <c r="N540" s="108" t="s">
        <v>2195</v>
      </c>
    </row>
    <row r="541" spans="1:14">
      <c r="A541" s="108">
        <v>534</v>
      </c>
      <c r="B541" s="108">
        <f t="shared" si="81"/>
        <v>368</v>
      </c>
      <c r="C541" s="108">
        <f t="shared" si="82"/>
        <v>0</v>
      </c>
      <c r="F541" s="108" t="s">
        <v>2196</v>
      </c>
      <c r="G541" s="108">
        <v>1</v>
      </c>
      <c r="H541" s="108">
        <v>24</v>
      </c>
      <c r="I541" s="108">
        <v>47.7</v>
      </c>
      <c r="J541" s="108">
        <v>9</v>
      </c>
      <c r="K541" s="108">
        <v>32</v>
      </c>
      <c r="L541" s="108">
        <v>20</v>
      </c>
      <c r="M541" s="108" t="s">
        <v>2197</v>
      </c>
      <c r="N541" s="108" t="s">
        <v>2195</v>
      </c>
    </row>
    <row r="542" spans="1:14">
      <c r="A542" s="108">
        <v>535</v>
      </c>
      <c r="B542" s="108">
        <f t="shared" si="81"/>
        <v>368</v>
      </c>
      <c r="C542" s="108">
        <f t="shared" si="82"/>
        <v>0</v>
      </c>
      <c r="F542" s="108" t="s">
        <v>2198</v>
      </c>
      <c r="G542" s="108">
        <v>1</v>
      </c>
      <c r="H542" s="108">
        <v>31</v>
      </c>
      <c r="I542" s="108">
        <v>20.8</v>
      </c>
      <c r="J542" s="108">
        <v>-6</v>
      </c>
      <c r="K542" s="108">
        <v>-52</v>
      </c>
      <c r="L542" s="108">
        <v>-5</v>
      </c>
      <c r="M542" s="108" t="s">
        <v>2199</v>
      </c>
      <c r="N542" s="108" t="s">
        <v>2200</v>
      </c>
    </row>
    <row r="543" spans="1:14">
      <c r="A543" s="108">
        <v>536</v>
      </c>
      <c r="B543" s="108">
        <f t="shared" si="81"/>
        <v>368</v>
      </c>
      <c r="C543" s="108">
        <f t="shared" si="82"/>
        <v>0</v>
      </c>
      <c r="F543" s="108" t="s">
        <v>2201</v>
      </c>
      <c r="G543" s="108">
        <v>1</v>
      </c>
      <c r="H543" s="108">
        <v>43</v>
      </c>
      <c r="I543" s="108">
        <v>2.2999999999999998</v>
      </c>
      <c r="J543" s="108">
        <v>13</v>
      </c>
      <c r="K543" s="108">
        <v>38</v>
      </c>
      <c r="L543" s="108">
        <v>44</v>
      </c>
      <c r="M543" s="108" t="s">
        <v>2202</v>
      </c>
      <c r="N543" s="108" t="s">
        <v>2203</v>
      </c>
    </row>
    <row r="544" spans="1:14">
      <c r="A544" s="108">
        <v>537</v>
      </c>
      <c r="B544" s="108">
        <f t="shared" si="81"/>
        <v>368</v>
      </c>
      <c r="C544" s="108">
        <f t="shared" si="82"/>
        <v>0</v>
      </c>
      <c r="F544" s="108" t="s">
        <v>2204</v>
      </c>
      <c r="G544" s="108">
        <v>1</v>
      </c>
      <c r="H544" s="108">
        <v>46</v>
      </c>
      <c r="I544" s="108">
        <v>9</v>
      </c>
      <c r="J544" s="108">
        <v>61</v>
      </c>
      <c r="K544" s="108">
        <v>14</v>
      </c>
      <c r="L544" s="108">
        <v>0</v>
      </c>
      <c r="M544" s="108" t="s">
        <v>2205</v>
      </c>
      <c r="N544" s="108" t="s">
        <v>2155</v>
      </c>
    </row>
    <row r="545" spans="1:14">
      <c r="A545" s="108">
        <v>538</v>
      </c>
      <c r="B545" s="108">
        <f t="shared" si="81"/>
        <v>368</v>
      </c>
      <c r="C545" s="108">
        <f t="shared" si="82"/>
        <v>0</v>
      </c>
      <c r="F545" s="108" t="s">
        <v>2206</v>
      </c>
      <c r="G545" s="108">
        <v>1</v>
      </c>
      <c r="H545" s="108">
        <v>53</v>
      </c>
      <c r="I545" s="108">
        <v>0.5</v>
      </c>
      <c r="J545" s="108">
        <v>-13</v>
      </c>
      <c r="K545" s="108">
        <v>-44</v>
      </c>
      <c r="L545" s="108">
        <v>-19</v>
      </c>
      <c r="M545" s="108" t="s">
        <v>2207</v>
      </c>
      <c r="N545" s="108" t="s">
        <v>2208</v>
      </c>
    </row>
    <row r="546" spans="1:14">
      <c r="A546" s="108">
        <v>539</v>
      </c>
      <c r="B546" s="108">
        <f t="shared" si="81"/>
        <v>368</v>
      </c>
      <c r="C546" s="108">
        <f t="shared" si="82"/>
        <v>0</v>
      </c>
      <c r="F546" s="108" t="s">
        <v>2209</v>
      </c>
      <c r="G546" s="108">
        <v>1</v>
      </c>
      <c r="H546" s="108">
        <v>57</v>
      </c>
      <c r="I546" s="108">
        <v>41</v>
      </c>
      <c r="J546" s="108">
        <v>37</v>
      </c>
      <c r="K546" s="108">
        <v>47</v>
      </c>
      <c r="L546" s="108">
        <v>0</v>
      </c>
      <c r="M546" s="108" t="s">
        <v>2210</v>
      </c>
      <c r="N546" s="108" t="s">
        <v>2211</v>
      </c>
    </row>
    <row r="547" spans="1:14">
      <c r="A547" s="108">
        <v>540</v>
      </c>
      <c r="B547" s="108">
        <f t="shared" si="81"/>
        <v>368</v>
      </c>
      <c r="C547" s="108">
        <f t="shared" si="82"/>
        <v>0</v>
      </c>
      <c r="F547" s="108" t="s">
        <v>2212</v>
      </c>
      <c r="G547" s="108">
        <v>1</v>
      </c>
      <c r="H547" s="108">
        <v>59</v>
      </c>
      <c r="I547" s="108">
        <v>19.600000000000001</v>
      </c>
      <c r="J547" s="108">
        <v>19</v>
      </c>
      <c r="K547" s="108">
        <v>0</v>
      </c>
      <c r="L547" s="108">
        <v>27</v>
      </c>
      <c r="M547" s="108" t="s">
        <v>2213</v>
      </c>
      <c r="N547" s="108" t="s">
        <v>2214</v>
      </c>
    </row>
    <row r="548" spans="1:14">
      <c r="A548" s="108">
        <v>541</v>
      </c>
      <c r="B548" s="108">
        <f t="shared" si="81"/>
        <v>368</v>
      </c>
      <c r="C548" s="108">
        <f t="shared" si="82"/>
        <v>0</v>
      </c>
      <c r="F548" s="108" t="s">
        <v>2215</v>
      </c>
      <c r="G548" s="108">
        <v>2</v>
      </c>
      <c r="H548" s="108">
        <v>6</v>
      </c>
      <c r="I548" s="108">
        <v>51.5</v>
      </c>
      <c r="J548" s="108">
        <v>44</v>
      </c>
      <c r="K548" s="108">
        <v>34</v>
      </c>
      <c r="L548" s="108">
        <v>22</v>
      </c>
      <c r="M548" s="108" t="s">
        <v>2216</v>
      </c>
      <c r="N548" s="108" t="s">
        <v>2217</v>
      </c>
    </row>
    <row r="549" spans="1:14">
      <c r="A549" s="108">
        <v>542</v>
      </c>
      <c r="B549" s="108">
        <f t="shared" si="81"/>
        <v>368</v>
      </c>
      <c r="C549" s="108">
        <f t="shared" si="82"/>
        <v>0</v>
      </c>
      <c r="F549" s="108" t="s">
        <v>2218</v>
      </c>
      <c r="G549" s="108">
        <v>2</v>
      </c>
      <c r="H549" s="108">
        <v>19</v>
      </c>
      <c r="I549" s="108">
        <v>0</v>
      </c>
      <c r="J549" s="108">
        <v>57</v>
      </c>
      <c r="K549" s="108">
        <v>7</v>
      </c>
      <c r="L549" s="108">
        <v>4</v>
      </c>
      <c r="M549" s="108" t="s">
        <v>2219</v>
      </c>
      <c r="N549" s="108" t="s">
        <v>2220</v>
      </c>
    </row>
    <row r="550" spans="1:14">
      <c r="A550" s="108">
        <v>543</v>
      </c>
      <c r="B550" s="108">
        <f t="shared" si="81"/>
        <v>368</v>
      </c>
      <c r="C550" s="108">
        <f t="shared" si="82"/>
        <v>0</v>
      </c>
      <c r="F550" s="108" t="s">
        <v>2221</v>
      </c>
      <c r="G550" s="108">
        <v>2</v>
      </c>
      <c r="H550" s="108">
        <v>22</v>
      </c>
      <c r="I550" s="108">
        <v>23</v>
      </c>
      <c r="J550" s="108">
        <v>57</v>
      </c>
      <c r="K550" s="108">
        <v>7</v>
      </c>
      <c r="L550" s="108">
        <v>3</v>
      </c>
      <c r="M550" s="108" t="s">
        <v>2222</v>
      </c>
      <c r="N550" s="108" t="s">
        <v>2220</v>
      </c>
    </row>
    <row r="551" spans="1:14">
      <c r="A551" s="108">
        <v>544</v>
      </c>
      <c r="B551" s="108">
        <f t="shared" si="81"/>
        <v>368</v>
      </c>
      <c r="C551" s="108">
        <f t="shared" si="82"/>
        <v>0</v>
      </c>
      <c r="F551" s="108" t="s">
        <v>2223</v>
      </c>
      <c r="G551" s="108">
        <v>2</v>
      </c>
      <c r="H551" s="108">
        <v>22</v>
      </c>
      <c r="I551" s="108">
        <v>1</v>
      </c>
      <c r="J551" s="108">
        <v>33</v>
      </c>
      <c r="K551" s="108">
        <v>15</v>
      </c>
      <c r="L551" s="108">
        <v>58</v>
      </c>
      <c r="M551" s="108" t="s">
        <v>2224</v>
      </c>
      <c r="N551" s="108" t="s">
        <v>2225</v>
      </c>
    </row>
    <row r="552" spans="1:14">
      <c r="A552" s="108">
        <v>545</v>
      </c>
      <c r="B552" s="108">
        <f t="shared" si="81"/>
        <v>368</v>
      </c>
      <c r="C552" s="108">
        <f t="shared" si="82"/>
        <v>0</v>
      </c>
      <c r="F552" s="108" t="s">
        <v>2226</v>
      </c>
      <c r="G552" s="108">
        <v>2</v>
      </c>
      <c r="H552" s="108">
        <v>22</v>
      </c>
      <c r="I552" s="108">
        <v>32.9</v>
      </c>
      <c r="J552" s="108">
        <v>42</v>
      </c>
      <c r="K552" s="108">
        <v>20</v>
      </c>
      <c r="L552" s="108">
        <v>54</v>
      </c>
      <c r="M552" s="108" t="s">
        <v>2227</v>
      </c>
      <c r="N552" s="108" t="s">
        <v>2228</v>
      </c>
    </row>
    <row r="553" spans="1:14">
      <c r="A553" s="108">
        <v>546</v>
      </c>
      <c r="B553" s="108">
        <f t="shared" si="81"/>
        <v>368</v>
      </c>
      <c r="C553" s="108">
        <f t="shared" si="82"/>
        <v>0</v>
      </c>
      <c r="F553" s="108" t="s">
        <v>2229</v>
      </c>
      <c r="G553" s="108">
        <v>2</v>
      </c>
      <c r="H553" s="108">
        <v>23</v>
      </c>
      <c r="I553" s="108">
        <v>4.5999999999999996</v>
      </c>
      <c r="J553" s="108">
        <v>-21</v>
      </c>
      <c r="K553" s="108">
        <v>-14</v>
      </c>
      <c r="L553" s="108">
        <v>-2</v>
      </c>
      <c r="M553" s="108" t="s">
        <v>2230</v>
      </c>
      <c r="N553" s="108" t="s">
        <v>2231</v>
      </c>
    </row>
    <row r="554" spans="1:14">
      <c r="A554" s="108">
        <v>547</v>
      </c>
      <c r="B554" s="108">
        <f t="shared" si="81"/>
        <v>368</v>
      </c>
      <c r="C554" s="108">
        <f t="shared" si="82"/>
        <v>0</v>
      </c>
      <c r="F554" s="108" t="s">
        <v>2232</v>
      </c>
      <c r="G554" s="108">
        <v>2</v>
      </c>
      <c r="H554" s="108">
        <v>27</v>
      </c>
      <c r="I554" s="108">
        <v>16.899999999999999</v>
      </c>
      <c r="J554" s="108">
        <v>33</v>
      </c>
      <c r="K554" s="108">
        <v>34</v>
      </c>
      <c r="L554" s="108">
        <v>44</v>
      </c>
      <c r="M554" s="108" t="s">
        <v>2233</v>
      </c>
      <c r="N554" s="108" t="s">
        <v>2234</v>
      </c>
    </row>
    <row r="555" spans="1:14">
      <c r="A555" s="108">
        <v>548</v>
      </c>
      <c r="B555" s="108">
        <f t="shared" si="81"/>
        <v>368</v>
      </c>
      <c r="C555" s="108">
        <f t="shared" si="82"/>
        <v>0</v>
      </c>
      <c r="F555" s="108" t="s">
        <v>2235</v>
      </c>
      <c r="G555" s="108">
        <v>2</v>
      </c>
      <c r="H555" s="108">
        <v>27</v>
      </c>
      <c r="I555" s="108">
        <v>37.5</v>
      </c>
      <c r="J555" s="108">
        <v>-1</v>
      </c>
      <c r="K555" s="108">
        <v>-9</v>
      </c>
      <c r="L555" s="108">
        <v>-23</v>
      </c>
      <c r="M555" s="108" t="s">
        <v>2236</v>
      </c>
      <c r="N555" s="108" t="s">
        <v>2237</v>
      </c>
    </row>
    <row r="556" spans="1:14">
      <c r="A556" s="108">
        <v>549</v>
      </c>
      <c r="B556" s="108">
        <f t="shared" si="81"/>
        <v>368</v>
      </c>
      <c r="C556" s="108">
        <f t="shared" si="82"/>
        <v>0</v>
      </c>
      <c r="F556" s="108" t="s">
        <v>2238</v>
      </c>
      <c r="G556" s="108">
        <v>2</v>
      </c>
      <c r="H556" s="108">
        <v>35</v>
      </c>
      <c r="I556" s="108">
        <v>27.7</v>
      </c>
      <c r="J556" s="108">
        <v>-9</v>
      </c>
      <c r="K556" s="108">
        <v>-21</v>
      </c>
      <c r="L556" s="108">
        <v>-22</v>
      </c>
      <c r="M556" s="108" t="s">
        <v>2239</v>
      </c>
      <c r="N556" s="108" t="s">
        <v>2240</v>
      </c>
    </row>
    <row r="557" spans="1:14">
      <c r="A557" s="108">
        <v>550</v>
      </c>
      <c r="B557" s="108">
        <f t="shared" si="81"/>
        <v>368</v>
      </c>
      <c r="C557" s="108">
        <f t="shared" si="82"/>
        <v>0</v>
      </c>
      <c r="F557" s="108" t="s">
        <v>2241</v>
      </c>
      <c r="G557" s="108">
        <v>2</v>
      </c>
      <c r="H557" s="108">
        <v>40</v>
      </c>
      <c r="I557" s="108">
        <v>24</v>
      </c>
      <c r="J557" s="108">
        <v>39</v>
      </c>
      <c r="K557" s="108">
        <v>3</v>
      </c>
      <c r="L557" s="108">
        <v>48</v>
      </c>
      <c r="M557" s="108" t="s">
        <v>2242</v>
      </c>
      <c r="N557" s="108" t="s">
        <v>2243</v>
      </c>
    </row>
    <row r="558" spans="1:14">
      <c r="A558" s="108">
        <v>551</v>
      </c>
      <c r="B558" s="108">
        <f t="shared" si="81"/>
        <v>368</v>
      </c>
      <c r="C558" s="108">
        <f t="shared" si="82"/>
        <v>0</v>
      </c>
      <c r="F558" s="108" t="s">
        <v>2244</v>
      </c>
      <c r="G558" s="108">
        <v>2</v>
      </c>
      <c r="H558" s="108">
        <v>39</v>
      </c>
      <c r="I558" s="108">
        <v>29.1</v>
      </c>
      <c r="J558" s="108">
        <v>-8</v>
      </c>
      <c r="K558" s="108">
        <v>-8</v>
      </c>
      <c r="L558" s="108">
        <v>-1</v>
      </c>
      <c r="M558" s="108" t="s">
        <v>2245</v>
      </c>
    </row>
    <row r="559" spans="1:14">
      <c r="A559" s="108">
        <v>552</v>
      </c>
      <c r="B559" s="108">
        <f t="shared" si="81"/>
        <v>368</v>
      </c>
      <c r="C559" s="108">
        <f t="shared" si="82"/>
        <v>0</v>
      </c>
      <c r="F559" s="108" t="s">
        <v>2246</v>
      </c>
      <c r="G559" s="108">
        <v>2</v>
      </c>
      <c r="H559" s="108">
        <v>40</v>
      </c>
      <c r="I559" s="108">
        <v>24</v>
      </c>
      <c r="J559" s="108">
        <v>-8</v>
      </c>
      <c r="K559" s="108">
        <v>-26</v>
      </c>
      <c r="L559" s="108">
        <v>-1</v>
      </c>
      <c r="M559" s="108" t="s">
        <v>2247</v>
      </c>
      <c r="N559" s="108" t="s">
        <v>2247</v>
      </c>
    </row>
    <row r="560" spans="1:14">
      <c r="A560" s="108">
        <v>553</v>
      </c>
      <c r="B560" s="108">
        <f t="shared" si="81"/>
        <v>368</v>
      </c>
      <c r="C560" s="108">
        <f t="shared" si="82"/>
        <v>0</v>
      </c>
      <c r="F560" s="108" t="s">
        <v>2248</v>
      </c>
      <c r="G560" s="108">
        <v>2</v>
      </c>
      <c r="H560" s="108">
        <v>41</v>
      </c>
      <c r="I560" s="108">
        <v>4.8</v>
      </c>
      <c r="J560" s="108">
        <v>-8</v>
      </c>
      <c r="K560" s="108">
        <v>-15</v>
      </c>
      <c r="L560" s="108">
        <v>-21</v>
      </c>
      <c r="M560" s="108" t="s">
        <v>2249</v>
      </c>
      <c r="N560" s="108" t="s">
        <v>2249</v>
      </c>
    </row>
    <row r="561" spans="1:14">
      <c r="A561" s="108">
        <v>554</v>
      </c>
      <c r="B561" s="108">
        <f t="shared" si="81"/>
        <v>368</v>
      </c>
      <c r="C561" s="108">
        <f t="shared" si="82"/>
        <v>0</v>
      </c>
      <c r="F561" s="108" t="s">
        <v>2250</v>
      </c>
      <c r="G561" s="108">
        <v>2</v>
      </c>
      <c r="H561" s="108">
        <v>41</v>
      </c>
      <c r="I561" s="108">
        <v>45.2</v>
      </c>
      <c r="J561" s="108">
        <v>0</v>
      </c>
      <c r="K561" s="108">
        <v>26</v>
      </c>
      <c r="L561" s="108">
        <v>35</v>
      </c>
      <c r="M561" s="108" t="s">
        <v>2251</v>
      </c>
      <c r="N561" s="108" t="s">
        <v>2252</v>
      </c>
    </row>
    <row r="562" spans="1:14">
      <c r="A562" s="108">
        <v>555</v>
      </c>
      <c r="B562" s="108">
        <f t="shared" si="81"/>
        <v>368</v>
      </c>
      <c r="C562" s="108">
        <f t="shared" si="82"/>
        <v>0</v>
      </c>
      <c r="F562" s="108" t="s">
        <v>2253</v>
      </c>
      <c r="G562" s="108">
        <v>2</v>
      </c>
      <c r="H562" s="108">
        <v>45</v>
      </c>
      <c r="I562" s="108">
        <v>59.9</v>
      </c>
      <c r="J562" s="108">
        <v>-7</v>
      </c>
      <c r="K562" s="108">
        <v>-34</v>
      </c>
      <c r="L562" s="108">
        <v>-43</v>
      </c>
      <c r="M562" s="108" t="s">
        <v>2254</v>
      </c>
      <c r="N562" s="108" t="s">
        <v>2237</v>
      </c>
    </row>
    <row r="563" spans="1:14">
      <c r="A563" s="108">
        <v>556</v>
      </c>
      <c r="B563" s="108">
        <f t="shared" si="81"/>
        <v>368</v>
      </c>
      <c r="C563" s="108">
        <f t="shared" si="82"/>
        <v>0</v>
      </c>
      <c r="F563" s="108" t="s">
        <v>2255</v>
      </c>
      <c r="G563" s="108">
        <v>2</v>
      </c>
      <c r="H563" s="108">
        <v>46</v>
      </c>
      <c r="I563" s="108">
        <v>25.2</v>
      </c>
      <c r="J563" s="108">
        <v>0</v>
      </c>
      <c r="K563" s="108">
        <v>-29</v>
      </c>
      <c r="L563" s="108">
        <v>-55</v>
      </c>
      <c r="M563" s="108" t="s">
        <v>2256</v>
      </c>
      <c r="N563" s="108" t="s">
        <v>2257</v>
      </c>
    </row>
    <row r="564" spans="1:14">
      <c r="A564" s="108">
        <v>557</v>
      </c>
      <c r="B564" s="108">
        <f t="shared" si="81"/>
        <v>368</v>
      </c>
      <c r="C564" s="108">
        <f t="shared" si="82"/>
        <v>0</v>
      </c>
      <c r="F564" s="108" t="s">
        <v>2258</v>
      </c>
      <c r="G564" s="108">
        <v>2</v>
      </c>
      <c r="H564" s="108">
        <v>46</v>
      </c>
      <c r="I564" s="108">
        <v>33.9</v>
      </c>
      <c r="J564" s="108">
        <v>0</v>
      </c>
      <c r="K564" s="108">
        <v>-14</v>
      </c>
      <c r="L564" s="108">
        <v>-49</v>
      </c>
      <c r="M564" s="108" t="s">
        <v>2259</v>
      </c>
      <c r="N564" s="108" t="s">
        <v>2260</v>
      </c>
    </row>
    <row r="565" spans="1:14">
      <c r="A565" s="108">
        <v>558</v>
      </c>
      <c r="B565" s="108">
        <f t="shared" si="81"/>
        <v>368</v>
      </c>
      <c r="C565" s="108">
        <f t="shared" si="82"/>
        <v>0</v>
      </c>
      <c r="F565" s="108" t="s">
        <v>2261</v>
      </c>
      <c r="G565" s="108">
        <v>3</v>
      </c>
      <c r="H565" s="108">
        <v>9</v>
      </c>
      <c r="I565" s="108">
        <v>45.9</v>
      </c>
      <c r="J565" s="108">
        <v>-20</v>
      </c>
      <c r="K565" s="108">
        <v>-34</v>
      </c>
      <c r="L565" s="108">
        <v>-45</v>
      </c>
      <c r="M565" s="108" t="s">
        <v>2262</v>
      </c>
      <c r="N565" s="108" t="s">
        <v>2263</v>
      </c>
    </row>
    <row r="566" spans="1:14">
      <c r="A566" s="108">
        <v>559</v>
      </c>
      <c r="B566" s="108">
        <f t="shared" si="81"/>
        <v>368</v>
      </c>
      <c r="C566" s="108">
        <f t="shared" si="82"/>
        <v>0</v>
      </c>
      <c r="F566" s="108" t="s">
        <v>2264</v>
      </c>
      <c r="G566" s="108">
        <v>3</v>
      </c>
      <c r="H566" s="108">
        <v>19</v>
      </c>
      <c r="I566" s="108">
        <v>14.2</v>
      </c>
      <c r="J566" s="108">
        <v>-19</v>
      </c>
      <c r="K566" s="108">
        <v>-6</v>
      </c>
      <c r="L566" s="108">
        <v>0</v>
      </c>
      <c r="M566" s="108" t="s">
        <v>2265</v>
      </c>
      <c r="N566" s="108" t="s">
        <v>2266</v>
      </c>
    </row>
    <row r="567" spans="1:14">
      <c r="A567" s="108">
        <v>560</v>
      </c>
      <c r="B567" s="108">
        <f t="shared" si="81"/>
        <v>368</v>
      </c>
      <c r="C567" s="108">
        <f t="shared" si="82"/>
        <v>0</v>
      </c>
      <c r="F567" s="108" t="s">
        <v>2267</v>
      </c>
      <c r="G567" s="108">
        <v>3</v>
      </c>
      <c r="H567" s="108">
        <v>19</v>
      </c>
      <c r="I567" s="108">
        <v>41.1</v>
      </c>
      <c r="J567" s="108">
        <v>-19</v>
      </c>
      <c r="K567" s="108">
        <v>-24</v>
      </c>
      <c r="L567" s="108">
        <v>-41</v>
      </c>
      <c r="M567" s="108" t="s">
        <v>2268</v>
      </c>
      <c r="N567" s="108" t="s">
        <v>2269</v>
      </c>
    </row>
    <row r="568" spans="1:14">
      <c r="A568" s="108">
        <v>561</v>
      </c>
      <c r="B568" s="108">
        <f t="shared" si="81"/>
        <v>368</v>
      </c>
      <c r="C568" s="108">
        <f t="shared" si="82"/>
        <v>0</v>
      </c>
      <c r="F568" s="108" t="s">
        <v>2270</v>
      </c>
      <c r="G568" s="108">
        <v>3</v>
      </c>
      <c r="H568" s="108">
        <v>26</v>
      </c>
      <c r="I568" s="108">
        <v>17.3</v>
      </c>
      <c r="J568" s="108">
        <v>-21</v>
      </c>
      <c r="K568" s="108">
        <v>-20</v>
      </c>
      <c r="L568" s="108">
        <v>-7</v>
      </c>
      <c r="M568" s="108" t="s">
        <v>2271</v>
      </c>
      <c r="N568" s="108" t="s">
        <v>2272</v>
      </c>
    </row>
    <row r="569" spans="1:14">
      <c r="A569" s="108">
        <v>562</v>
      </c>
      <c r="B569" s="108">
        <f t="shared" si="81"/>
        <v>368</v>
      </c>
      <c r="C569" s="108">
        <f t="shared" si="82"/>
        <v>0</v>
      </c>
      <c r="F569" s="108" t="s">
        <v>2273</v>
      </c>
      <c r="G569" s="108">
        <v>3</v>
      </c>
      <c r="H569" s="108">
        <v>39</v>
      </c>
      <c r="I569" s="108">
        <v>30.7</v>
      </c>
      <c r="J569" s="108">
        <v>-18</v>
      </c>
      <c r="K569" s="108">
        <v>-41</v>
      </c>
      <c r="L569" s="108">
        <v>-17</v>
      </c>
      <c r="M569" s="108" t="s">
        <v>2274</v>
      </c>
      <c r="N569" s="108" t="s">
        <v>2275</v>
      </c>
    </row>
    <row r="570" spans="1:14">
      <c r="A570" s="108">
        <v>563</v>
      </c>
      <c r="B570" s="108">
        <f t="shared" si="81"/>
        <v>368</v>
      </c>
      <c r="C570" s="108">
        <f t="shared" si="82"/>
        <v>0</v>
      </c>
      <c r="F570" s="108" t="s">
        <v>2276</v>
      </c>
      <c r="G570" s="108">
        <v>3</v>
      </c>
      <c r="H570" s="108">
        <v>40</v>
      </c>
      <c r="I570" s="108">
        <v>11.9</v>
      </c>
      <c r="J570" s="108">
        <v>-18</v>
      </c>
      <c r="K570" s="108">
        <v>-34</v>
      </c>
      <c r="L570" s="108">
        <v>-49</v>
      </c>
      <c r="M570" s="108" t="s">
        <v>2277</v>
      </c>
      <c r="N570" s="108" t="s">
        <v>2278</v>
      </c>
    </row>
    <row r="571" spans="1:14">
      <c r="A571" s="108">
        <v>564</v>
      </c>
      <c r="B571" s="108">
        <f t="shared" si="81"/>
        <v>368</v>
      </c>
      <c r="C571" s="108">
        <f t="shared" si="82"/>
        <v>0</v>
      </c>
      <c r="F571" s="108" t="s">
        <v>2279</v>
      </c>
      <c r="G571" s="108">
        <v>4</v>
      </c>
      <c r="H571" s="108">
        <v>3</v>
      </c>
      <c r="I571" s="108">
        <v>18</v>
      </c>
      <c r="J571" s="108">
        <v>36</v>
      </c>
      <c r="K571" s="108">
        <v>25</v>
      </c>
      <c r="L571" s="108">
        <v>1</v>
      </c>
      <c r="M571" s="108" t="s">
        <v>2280</v>
      </c>
      <c r="N571" s="108" t="s">
        <v>2281</v>
      </c>
    </row>
    <row r="572" spans="1:14">
      <c r="A572" s="108">
        <v>565</v>
      </c>
      <c r="B572" s="108">
        <f t="shared" si="81"/>
        <v>368</v>
      </c>
      <c r="C572" s="108">
        <f t="shared" si="82"/>
        <v>0</v>
      </c>
      <c r="F572" s="108" t="s">
        <v>2282</v>
      </c>
      <c r="G572" s="108">
        <v>4</v>
      </c>
      <c r="H572" s="108">
        <v>6</v>
      </c>
      <c r="I572" s="108">
        <v>59.4</v>
      </c>
      <c r="J572" s="108">
        <v>60</v>
      </c>
      <c r="K572" s="108">
        <v>55</v>
      </c>
      <c r="L572" s="108">
        <v>14</v>
      </c>
      <c r="M572" s="108" t="s">
        <v>2283</v>
      </c>
      <c r="N572" s="108" t="s">
        <v>2284</v>
      </c>
    </row>
    <row r="573" spans="1:14">
      <c r="A573" s="108">
        <v>566</v>
      </c>
      <c r="B573" s="108">
        <f t="shared" si="81"/>
        <v>368</v>
      </c>
      <c r="C573" s="108">
        <f t="shared" si="82"/>
        <v>0</v>
      </c>
      <c r="F573" s="108" t="s">
        <v>2285</v>
      </c>
      <c r="G573" s="108">
        <v>4</v>
      </c>
      <c r="H573" s="108">
        <v>9</v>
      </c>
      <c r="I573" s="108">
        <v>17</v>
      </c>
      <c r="J573" s="108">
        <v>30</v>
      </c>
      <c r="K573" s="108">
        <v>46</v>
      </c>
      <c r="L573" s="108">
        <v>34</v>
      </c>
      <c r="M573" s="108" t="s">
        <v>2286</v>
      </c>
      <c r="N573" s="108" t="s">
        <v>2284</v>
      </c>
    </row>
    <row r="574" spans="1:14">
      <c r="A574" s="108">
        <v>567</v>
      </c>
      <c r="B574" s="108">
        <f t="shared" si="81"/>
        <v>368</v>
      </c>
      <c r="C574" s="108">
        <f t="shared" si="82"/>
        <v>0</v>
      </c>
      <c r="F574" s="108" t="s">
        <v>2287</v>
      </c>
      <c r="G574" s="108">
        <v>4</v>
      </c>
      <c r="H574" s="108">
        <v>14</v>
      </c>
      <c r="I574" s="108">
        <v>15.8</v>
      </c>
      <c r="J574" s="108">
        <v>-12</v>
      </c>
      <c r="K574" s="108">
        <v>-44</v>
      </c>
      <c r="L574" s="108">
        <v>-22</v>
      </c>
      <c r="M574" s="108" t="s">
        <v>2288</v>
      </c>
      <c r="N574" s="108" t="s">
        <v>2289</v>
      </c>
    </row>
    <row r="575" spans="1:14">
      <c r="A575" s="108">
        <v>568</v>
      </c>
      <c r="B575" s="108">
        <f t="shared" si="81"/>
        <v>368</v>
      </c>
      <c r="C575" s="108">
        <f t="shared" si="82"/>
        <v>0</v>
      </c>
      <c r="F575" s="108" t="s">
        <v>2290</v>
      </c>
      <c r="G575" s="108">
        <v>4</v>
      </c>
      <c r="H575" s="108">
        <v>31</v>
      </c>
      <c r="I575" s="108">
        <v>39.9</v>
      </c>
      <c r="J575" s="108">
        <v>-5</v>
      </c>
      <c r="K575" s="108">
        <v>-5</v>
      </c>
      <c r="L575" s="108">
        <v>-10</v>
      </c>
      <c r="M575" s="108" t="s">
        <v>2291</v>
      </c>
      <c r="N575" s="108" t="s">
        <v>2292</v>
      </c>
    </row>
    <row r="576" spans="1:14">
      <c r="A576" s="108">
        <v>569</v>
      </c>
      <c r="B576" s="108">
        <f t="shared" si="81"/>
        <v>368</v>
      </c>
      <c r="C576" s="108">
        <f t="shared" si="82"/>
        <v>0</v>
      </c>
      <c r="F576" s="108" t="s">
        <v>2293</v>
      </c>
      <c r="G576" s="108">
        <v>4</v>
      </c>
      <c r="H576" s="108">
        <v>41</v>
      </c>
      <c r="I576" s="108">
        <v>28.2</v>
      </c>
      <c r="J576" s="108">
        <v>-2</v>
      </c>
      <c r="K576" s="108">
        <v>-51</v>
      </c>
      <c r="L576" s="108">
        <v>-29</v>
      </c>
      <c r="M576" s="108" t="s">
        <v>2294</v>
      </c>
      <c r="N576" s="108" t="s">
        <v>2295</v>
      </c>
    </row>
    <row r="577" spans="1:14">
      <c r="A577" s="108">
        <v>570</v>
      </c>
      <c r="B577" s="108">
        <f t="shared" si="81"/>
        <v>368</v>
      </c>
      <c r="C577" s="108">
        <f t="shared" si="82"/>
        <v>0</v>
      </c>
      <c r="F577" s="108" t="s">
        <v>2296</v>
      </c>
      <c r="G577" s="108">
        <v>4</v>
      </c>
      <c r="H577" s="108">
        <v>45</v>
      </c>
      <c r="I577" s="108">
        <v>55</v>
      </c>
      <c r="J577" s="108">
        <v>19</v>
      </c>
      <c r="K577" s="108">
        <v>6</v>
      </c>
      <c r="L577" s="108">
        <v>5</v>
      </c>
      <c r="M577" s="108" t="s">
        <v>2297</v>
      </c>
      <c r="N577" s="108" t="s">
        <v>2284</v>
      </c>
    </row>
    <row r="578" spans="1:14">
      <c r="A578" s="108">
        <v>571</v>
      </c>
      <c r="B578" s="108">
        <f t="shared" si="81"/>
        <v>368</v>
      </c>
      <c r="C578" s="108">
        <f t="shared" si="82"/>
        <v>0</v>
      </c>
      <c r="F578" s="108" t="s">
        <v>2298</v>
      </c>
      <c r="G578" s="108">
        <v>4</v>
      </c>
      <c r="H578" s="108">
        <v>48</v>
      </c>
      <c r="I578" s="108">
        <v>27</v>
      </c>
      <c r="J578" s="108">
        <v>10</v>
      </c>
      <c r="K578" s="108">
        <v>56</v>
      </c>
      <c r="L578" s="108">
        <v>1</v>
      </c>
      <c r="M578" s="108" t="s">
        <v>2299</v>
      </c>
      <c r="N578" s="108" t="s">
        <v>2284</v>
      </c>
    </row>
    <row r="579" spans="1:14">
      <c r="A579" s="108">
        <v>572</v>
      </c>
      <c r="B579" s="108">
        <f t="shared" si="81"/>
        <v>368</v>
      </c>
      <c r="C579" s="108">
        <f t="shared" si="82"/>
        <v>0</v>
      </c>
      <c r="F579" s="108" t="s">
        <v>2300</v>
      </c>
      <c r="G579" s="108">
        <v>5</v>
      </c>
      <c r="H579" s="108">
        <v>20</v>
      </c>
      <c r="I579" s="108">
        <v>3</v>
      </c>
      <c r="J579" s="108">
        <v>39</v>
      </c>
      <c r="K579" s="108">
        <v>17</v>
      </c>
      <c r="L579" s="108">
        <v>2</v>
      </c>
      <c r="M579" s="108" t="s">
        <v>2301</v>
      </c>
      <c r="N579" s="108" t="s">
        <v>2284</v>
      </c>
    </row>
    <row r="580" spans="1:14">
      <c r="A580" s="108">
        <v>573</v>
      </c>
      <c r="B580" s="108">
        <f t="shared" si="81"/>
        <v>368</v>
      </c>
      <c r="C580" s="108">
        <f t="shared" si="82"/>
        <v>0</v>
      </c>
      <c r="F580" s="108" t="s">
        <v>2302</v>
      </c>
      <c r="G580" s="108">
        <v>5</v>
      </c>
      <c r="H580" s="108">
        <v>28</v>
      </c>
      <c r="I580" s="108">
        <v>5</v>
      </c>
      <c r="J580" s="108">
        <v>35</v>
      </c>
      <c r="K580" s="108">
        <v>19</v>
      </c>
      <c r="L580" s="108">
        <v>3</v>
      </c>
      <c r="M580" s="108" t="s">
        <v>2303</v>
      </c>
      <c r="N580" s="108" t="s">
        <v>2304</v>
      </c>
    </row>
    <row r="581" spans="1:14">
      <c r="A581" s="108">
        <v>574</v>
      </c>
      <c r="B581" s="108">
        <f t="shared" si="81"/>
        <v>368</v>
      </c>
      <c r="C581" s="108">
        <f t="shared" si="82"/>
        <v>0</v>
      </c>
      <c r="F581" s="108" t="s">
        <v>2305</v>
      </c>
      <c r="G581" s="108">
        <v>5</v>
      </c>
      <c r="H581" s="108">
        <v>33</v>
      </c>
      <c r="I581" s="108">
        <v>21.8</v>
      </c>
      <c r="J581" s="108">
        <v>-21</v>
      </c>
      <c r="K581" s="108">
        <v>-56</v>
      </c>
      <c r="L581" s="108">
        <v>-45</v>
      </c>
      <c r="M581" s="108" t="s">
        <v>2306</v>
      </c>
      <c r="N581" s="108" t="s">
        <v>2307</v>
      </c>
    </row>
    <row r="582" spans="1:14">
      <c r="A582" s="108">
        <v>575</v>
      </c>
      <c r="B582" s="108">
        <f t="shared" ref="B582:B645" si="83">IF(B581=F582,A582,B581)</f>
        <v>368</v>
      </c>
      <c r="C582" s="108">
        <f t="shared" ref="C582:C645" si="84" xml:space="preserve"> IF(C581=F582,A582,C581)</f>
        <v>0</v>
      </c>
      <c r="F582" s="108" t="s">
        <v>2308</v>
      </c>
      <c r="G582" s="108">
        <v>5</v>
      </c>
      <c r="H582" s="108">
        <v>42</v>
      </c>
      <c r="I582" s="108">
        <v>6.2</v>
      </c>
      <c r="J582" s="108">
        <v>9</v>
      </c>
      <c r="K582" s="108">
        <v>5</v>
      </c>
      <c r="L582" s="108">
        <v>10</v>
      </c>
      <c r="M582" s="108" t="s">
        <v>2309</v>
      </c>
      <c r="N582" s="108" t="s">
        <v>2284</v>
      </c>
    </row>
    <row r="583" spans="1:14">
      <c r="A583" s="108">
        <v>576</v>
      </c>
      <c r="B583" s="108">
        <f t="shared" si="83"/>
        <v>368</v>
      </c>
      <c r="C583" s="108">
        <f t="shared" si="84"/>
        <v>0</v>
      </c>
      <c r="F583" s="108" t="s">
        <v>2310</v>
      </c>
      <c r="G583" s="108">
        <v>5</v>
      </c>
      <c r="H583" s="108">
        <v>41</v>
      </c>
      <c r="I583" s="108">
        <v>37.9</v>
      </c>
      <c r="J583" s="108">
        <v>-2</v>
      </c>
      <c r="K583" s="108">
        <v>-15</v>
      </c>
      <c r="L583" s="108">
        <v>-52</v>
      </c>
      <c r="M583" s="108" t="s">
        <v>2311</v>
      </c>
      <c r="N583" s="108" t="s">
        <v>2312</v>
      </c>
    </row>
    <row r="584" spans="1:14">
      <c r="A584" s="108">
        <v>577</v>
      </c>
      <c r="B584" s="108">
        <f t="shared" si="83"/>
        <v>368</v>
      </c>
      <c r="C584" s="108">
        <f t="shared" si="84"/>
        <v>0</v>
      </c>
      <c r="F584" s="108" t="s">
        <v>2313</v>
      </c>
      <c r="G584" s="108">
        <v>5</v>
      </c>
      <c r="H584" s="108">
        <v>41</v>
      </c>
      <c r="I584" s="108">
        <v>43</v>
      </c>
      <c r="J584" s="108">
        <v>-1</v>
      </c>
      <c r="K584" s="108">
        <v>-50</v>
      </c>
      <c r="L584" s="108">
        <v>-30</v>
      </c>
      <c r="M584" s="108" t="s">
        <v>2314</v>
      </c>
      <c r="N584" s="108" t="s">
        <v>2315</v>
      </c>
    </row>
    <row r="585" spans="1:14">
      <c r="A585" s="108">
        <v>578</v>
      </c>
      <c r="B585" s="108">
        <f t="shared" si="83"/>
        <v>368</v>
      </c>
      <c r="C585" s="108">
        <f t="shared" si="84"/>
        <v>0</v>
      </c>
      <c r="F585" s="108" t="s">
        <v>2316</v>
      </c>
      <c r="G585" s="108">
        <v>5</v>
      </c>
      <c r="H585" s="108">
        <v>47</v>
      </c>
      <c r="I585" s="108">
        <v>9</v>
      </c>
      <c r="J585" s="108">
        <v>0</v>
      </c>
      <c r="K585" s="108">
        <v>18</v>
      </c>
      <c r="L585" s="108">
        <v>0</v>
      </c>
      <c r="M585" s="108" t="s">
        <v>2317</v>
      </c>
      <c r="N585" s="108" t="s">
        <v>2155</v>
      </c>
    </row>
    <row r="586" spans="1:14">
      <c r="A586" s="108">
        <v>579</v>
      </c>
      <c r="B586" s="108">
        <f t="shared" si="83"/>
        <v>368</v>
      </c>
      <c r="C586" s="108">
        <f t="shared" si="84"/>
        <v>0</v>
      </c>
      <c r="F586" s="108" t="s">
        <v>2318</v>
      </c>
      <c r="G586" s="108">
        <v>6</v>
      </c>
      <c r="H586" s="108">
        <v>12</v>
      </c>
      <c r="I586" s="108">
        <v>9.6</v>
      </c>
      <c r="J586" s="108">
        <v>-21</v>
      </c>
      <c r="K586" s="108">
        <v>-48</v>
      </c>
      <c r="L586" s="108">
        <v>-21</v>
      </c>
      <c r="M586" s="108" t="s">
        <v>2319</v>
      </c>
      <c r="N586" s="108" t="s">
        <v>2195</v>
      </c>
    </row>
    <row r="587" spans="1:14">
      <c r="A587" s="108">
        <v>580</v>
      </c>
      <c r="B587" s="108">
        <f t="shared" si="83"/>
        <v>368</v>
      </c>
      <c r="C587" s="108">
        <f t="shared" si="84"/>
        <v>0</v>
      </c>
      <c r="F587" s="108" t="s">
        <v>2320</v>
      </c>
      <c r="G587" s="108">
        <v>6</v>
      </c>
      <c r="H587" s="108">
        <v>27</v>
      </c>
      <c r="I587" s="108">
        <v>15</v>
      </c>
      <c r="J587" s="108">
        <v>-4</v>
      </c>
      <c r="K587" s="108">
        <v>-45</v>
      </c>
      <c r="L587" s="108">
        <v>-3</v>
      </c>
      <c r="M587" s="108" t="s">
        <v>2321</v>
      </c>
      <c r="N587" s="108" t="s">
        <v>2322</v>
      </c>
    </row>
    <row r="588" spans="1:14">
      <c r="A588" s="108">
        <v>581</v>
      </c>
      <c r="B588" s="108">
        <f t="shared" si="83"/>
        <v>368</v>
      </c>
      <c r="C588" s="108">
        <f t="shared" si="84"/>
        <v>0</v>
      </c>
      <c r="F588" s="108" t="s">
        <v>2323</v>
      </c>
      <c r="G588" s="108">
        <v>6</v>
      </c>
      <c r="H588" s="108">
        <v>31</v>
      </c>
      <c r="I588" s="108">
        <v>55</v>
      </c>
      <c r="J588" s="108">
        <v>4</v>
      </c>
      <c r="K588" s="108">
        <v>56</v>
      </c>
      <c r="L588" s="108">
        <v>3</v>
      </c>
      <c r="M588" s="108" t="s">
        <v>2324</v>
      </c>
      <c r="N588" s="108" t="s">
        <v>2325</v>
      </c>
    </row>
    <row r="589" spans="1:14">
      <c r="A589" s="108">
        <v>582</v>
      </c>
      <c r="B589" s="108">
        <f t="shared" si="83"/>
        <v>368</v>
      </c>
      <c r="C589" s="108">
        <f t="shared" si="84"/>
        <v>0</v>
      </c>
      <c r="F589" s="108" t="s">
        <v>2326</v>
      </c>
      <c r="G589" s="108">
        <v>6</v>
      </c>
      <c r="H589" s="108">
        <v>40</v>
      </c>
      <c r="I589" s="108">
        <v>58</v>
      </c>
      <c r="J589" s="108">
        <v>9</v>
      </c>
      <c r="K589" s="108">
        <v>53</v>
      </c>
      <c r="L589" s="108">
        <v>4</v>
      </c>
      <c r="M589" s="108" t="s">
        <v>2327</v>
      </c>
      <c r="N589" s="108" t="s">
        <v>2328</v>
      </c>
    </row>
    <row r="590" spans="1:14">
      <c r="A590" s="108">
        <v>583</v>
      </c>
      <c r="B590" s="108">
        <f t="shared" si="83"/>
        <v>368</v>
      </c>
      <c r="C590" s="108">
        <f t="shared" si="84"/>
        <v>0</v>
      </c>
      <c r="F590" s="108" t="s">
        <v>2329</v>
      </c>
      <c r="G590" s="108">
        <v>7</v>
      </c>
      <c r="H590" s="108">
        <v>27</v>
      </c>
      <c r="I590" s="108">
        <v>14.5</v>
      </c>
      <c r="J590" s="108">
        <v>85</v>
      </c>
      <c r="K590" s="108">
        <v>45</v>
      </c>
      <c r="L590" s="108">
        <v>16</v>
      </c>
      <c r="M590" s="108" t="s">
        <v>2330</v>
      </c>
      <c r="N590" s="108" t="s">
        <v>2331</v>
      </c>
    </row>
    <row r="591" spans="1:14">
      <c r="A591" s="108">
        <v>584</v>
      </c>
      <c r="B591" s="108">
        <f t="shared" si="83"/>
        <v>368</v>
      </c>
      <c r="C591" s="108">
        <f t="shared" si="84"/>
        <v>0</v>
      </c>
      <c r="F591" s="108" t="s">
        <v>2332</v>
      </c>
      <c r="G591" s="108">
        <v>7</v>
      </c>
      <c r="H591" s="108">
        <v>32</v>
      </c>
      <c r="I591" s="108">
        <v>20.5</v>
      </c>
      <c r="J591" s="108">
        <v>85</v>
      </c>
      <c r="K591" s="108">
        <v>42</v>
      </c>
      <c r="L591" s="108">
        <v>32</v>
      </c>
      <c r="M591" s="108" t="s">
        <v>2333</v>
      </c>
      <c r="N591" s="108" t="s">
        <v>2334</v>
      </c>
    </row>
    <row r="592" spans="1:14">
      <c r="A592" s="108">
        <v>585</v>
      </c>
      <c r="B592" s="108">
        <f t="shared" si="83"/>
        <v>368</v>
      </c>
      <c r="C592" s="108">
        <f t="shared" si="84"/>
        <v>0</v>
      </c>
      <c r="F592" s="108" t="s">
        <v>2335</v>
      </c>
      <c r="G592" s="108">
        <v>7</v>
      </c>
      <c r="H592" s="108">
        <v>27</v>
      </c>
      <c r="I592" s="108">
        <v>4</v>
      </c>
      <c r="J592" s="108">
        <v>80</v>
      </c>
      <c r="K592" s="108">
        <v>10</v>
      </c>
      <c r="L592" s="108">
        <v>41</v>
      </c>
      <c r="M592" s="108" t="s">
        <v>2336</v>
      </c>
      <c r="N592" s="108" t="s">
        <v>2337</v>
      </c>
    </row>
    <row r="593" spans="1:14">
      <c r="A593" s="108">
        <v>586</v>
      </c>
      <c r="B593" s="108">
        <f t="shared" si="83"/>
        <v>368</v>
      </c>
      <c r="C593" s="108">
        <f t="shared" si="84"/>
        <v>0</v>
      </c>
      <c r="F593" s="108" t="s">
        <v>2338</v>
      </c>
      <c r="G593" s="108">
        <v>7</v>
      </c>
      <c r="H593" s="108">
        <v>25</v>
      </c>
      <c r="I593" s="108">
        <v>34.700000000000003</v>
      </c>
      <c r="J593" s="108">
        <v>29</v>
      </c>
      <c r="K593" s="108">
        <v>29</v>
      </c>
      <c r="L593" s="108">
        <v>26</v>
      </c>
      <c r="M593" s="108" t="s">
        <v>2339</v>
      </c>
      <c r="N593" s="108" t="s">
        <v>2155</v>
      </c>
    </row>
    <row r="594" spans="1:14">
      <c r="A594" s="108">
        <v>587</v>
      </c>
      <c r="B594" s="108">
        <f t="shared" si="83"/>
        <v>368</v>
      </c>
      <c r="C594" s="108">
        <f t="shared" si="84"/>
        <v>0</v>
      </c>
      <c r="F594" s="108" t="s">
        <v>2340</v>
      </c>
      <c r="G594" s="108">
        <v>7</v>
      </c>
      <c r="H594" s="108">
        <v>29</v>
      </c>
      <c r="I594" s="108">
        <v>10.8</v>
      </c>
      <c r="J594" s="108">
        <v>20</v>
      </c>
      <c r="K594" s="108">
        <v>54</v>
      </c>
      <c r="L594" s="108">
        <v>42</v>
      </c>
      <c r="M594" s="108" t="s">
        <v>2341</v>
      </c>
      <c r="N594" s="108" t="s">
        <v>2342</v>
      </c>
    </row>
    <row r="595" spans="1:14">
      <c r="A595" s="108">
        <v>588</v>
      </c>
      <c r="B595" s="108">
        <f t="shared" si="83"/>
        <v>368</v>
      </c>
      <c r="C595" s="108">
        <f t="shared" si="84"/>
        <v>0</v>
      </c>
      <c r="F595" s="108" t="s">
        <v>2343</v>
      </c>
      <c r="G595" s="108">
        <v>7</v>
      </c>
      <c r="H595" s="108">
        <v>36</v>
      </c>
      <c r="I595" s="108">
        <v>51.4</v>
      </c>
      <c r="J595" s="108">
        <v>65</v>
      </c>
      <c r="K595" s="108">
        <v>36</v>
      </c>
      <c r="L595" s="108">
        <v>9</v>
      </c>
      <c r="M595" s="108" t="s">
        <v>2344</v>
      </c>
      <c r="N595" s="108" t="s">
        <v>2345</v>
      </c>
    </row>
    <row r="596" spans="1:14">
      <c r="A596" s="108">
        <v>589</v>
      </c>
      <c r="B596" s="108">
        <f t="shared" si="83"/>
        <v>368</v>
      </c>
      <c r="C596" s="108">
        <f t="shared" si="84"/>
        <v>0</v>
      </c>
      <c r="F596" s="108" t="s">
        <v>2346</v>
      </c>
      <c r="G596" s="108">
        <v>7</v>
      </c>
      <c r="H596" s="108">
        <v>41</v>
      </c>
      <c r="I596" s="108">
        <v>50.5</v>
      </c>
      <c r="J596" s="108">
        <v>-14</v>
      </c>
      <c r="K596" s="108">
        <v>-44</v>
      </c>
      <c r="L596" s="108">
        <v>-8</v>
      </c>
      <c r="M596" s="108" t="s">
        <v>2347</v>
      </c>
      <c r="N596" s="108" t="s">
        <v>2155</v>
      </c>
    </row>
    <row r="597" spans="1:14">
      <c r="A597" s="108">
        <v>590</v>
      </c>
      <c r="B597" s="108">
        <f t="shared" si="83"/>
        <v>368</v>
      </c>
      <c r="C597" s="108">
        <f t="shared" si="84"/>
        <v>0</v>
      </c>
      <c r="F597" s="108" t="s">
        <v>2348</v>
      </c>
      <c r="G597" s="108">
        <v>8</v>
      </c>
      <c r="H597" s="108">
        <v>33</v>
      </c>
      <c r="I597" s="108">
        <v>22.8</v>
      </c>
      <c r="J597" s="108">
        <v>-22</v>
      </c>
      <c r="K597" s="108">
        <v>-58</v>
      </c>
      <c r="L597" s="108">
        <v>-25</v>
      </c>
      <c r="M597" s="108" t="s">
        <v>2349</v>
      </c>
      <c r="N597" s="108" t="s">
        <v>2208</v>
      </c>
    </row>
    <row r="598" spans="1:14">
      <c r="A598" s="108">
        <v>591</v>
      </c>
      <c r="B598" s="108">
        <f t="shared" si="83"/>
        <v>368</v>
      </c>
      <c r="C598" s="108">
        <f t="shared" si="84"/>
        <v>0</v>
      </c>
      <c r="F598" s="108" t="s">
        <v>2350</v>
      </c>
      <c r="G598" s="108">
        <v>8</v>
      </c>
      <c r="H598" s="108">
        <v>52</v>
      </c>
      <c r="I598" s="108">
        <v>41.3</v>
      </c>
      <c r="J598" s="108">
        <v>33</v>
      </c>
      <c r="K598" s="108">
        <v>25</v>
      </c>
      <c r="L598" s="108">
        <v>18</v>
      </c>
      <c r="M598" s="108" t="s">
        <v>2351</v>
      </c>
      <c r="N598" s="108" t="s">
        <v>2352</v>
      </c>
    </row>
    <row r="599" spans="1:14">
      <c r="A599" s="108">
        <v>592</v>
      </c>
      <c r="B599" s="108">
        <f t="shared" si="83"/>
        <v>368</v>
      </c>
      <c r="C599" s="108">
        <f t="shared" si="84"/>
        <v>0</v>
      </c>
      <c r="F599" s="108" t="s">
        <v>2353</v>
      </c>
      <c r="G599" s="108">
        <v>9</v>
      </c>
      <c r="H599" s="108">
        <v>11</v>
      </c>
      <c r="I599" s="108">
        <v>37.5</v>
      </c>
      <c r="J599" s="108">
        <v>60</v>
      </c>
      <c r="K599" s="108">
        <v>2</v>
      </c>
      <c r="L599" s="108">
        <v>14</v>
      </c>
      <c r="M599" s="108" t="s">
        <v>2354</v>
      </c>
      <c r="N599" s="108" t="s">
        <v>2355</v>
      </c>
    </row>
    <row r="600" spans="1:14">
      <c r="A600" s="108">
        <v>593</v>
      </c>
      <c r="B600" s="108">
        <f t="shared" si="83"/>
        <v>368</v>
      </c>
      <c r="C600" s="108">
        <f t="shared" si="84"/>
        <v>0</v>
      </c>
      <c r="F600" s="108" t="s">
        <v>2356</v>
      </c>
      <c r="G600" s="108">
        <v>9</v>
      </c>
      <c r="H600" s="108">
        <v>22</v>
      </c>
      <c r="I600" s="108">
        <v>2.7</v>
      </c>
      <c r="J600" s="108">
        <v>50</v>
      </c>
      <c r="K600" s="108">
        <v>58</v>
      </c>
      <c r="L600" s="108">
        <v>35</v>
      </c>
      <c r="M600" s="108" t="s">
        <v>2357</v>
      </c>
      <c r="N600" s="108" t="s">
        <v>2358</v>
      </c>
    </row>
    <row r="601" spans="1:14">
      <c r="A601" s="108">
        <v>594</v>
      </c>
      <c r="B601" s="108">
        <f t="shared" si="83"/>
        <v>368</v>
      </c>
      <c r="C601" s="108">
        <f t="shared" si="84"/>
        <v>0</v>
      </c>
      <c r="F601" s="108" t="s">
        <v>2359</v>
      </c>
      <c r="G601" s="108">
        <v>9</v>
      </c>
      <c r="H601" s="108">
        <v>32</v>
      </c>
      <c r="I601" s="108">
        <v>10.1</v>
      </c>
      <c r="J601" s="108">
        <v>21</v>
      </c>
      <c r="K601" s="108">
        <v>30</v>
      </c>
      <c r="L601" s="108">
        <v>3</v>
      </c>
      <c r="M601" s="108" t="s">
        <v>2360</v>
      </c>
      <c r="N601" s="108" t="s">
        <v>2361</v>
      </c>
    </row>
    <row r="602" spans="1:14">
      <c r="A602" s="108">
        <v>595</v>
      </c>
      <c r="B602" s="108">
        <f t="shared" si="83"/>
        <v>368</v>
      </c>
      <c r="C602" s="108">
        <f t="shared" si="84"/>
        <v>0</v>
      </c>
      <c r="F602" s="108" t="s">
        <v>2362</v>
      </c>
      <c r="G602" s="108">
        <v>9</v>
      </c>
      <c r="H602" s="108">
        <v>47</v>
      </c>
      <c r="I602" s="108">
        <v>15.5</v>
      </c>
      <c r="J602" s="108">
        <v>67</v>
      </c>
      <c r="K602" s="108">
        <v>54</v>
      </c>
      <c r="L602" s="108">
        <v>59</v>
      </c>
      <c r="M602" s="108" t="s">
        <v>2363</v>
      </c>
      <c r="N602" s="108" t="s">
        <v>2190</v>
      </c>
    </row>
    <row r="603" spans="1:14">
      <c r="A603" s="108">
        <v>596</v>
      </c>
      <c r="B603" s="108">
        <f t="shared" si="83"/>
        <v>368</v>
      </c>
      <c r="C603" s="108">
        <f t="shared" si="84"/>
        <v>0</v>
      </c>
      <c r="F603" s="108" t="s">
        <v>2364</v>
      </c>
      <c r="G603" s="108">
        <v>9</v>
      </c>
      <c r="H603" s="108">
        <v>45</v>
      </c>
      <c r="I603" s="108">
        <v>38.799999999999997</v>
      </c>
      <c r="J603" s="108">
        <v>-31</v>
      </c>
      <c r="K603" s="108">
        <v>-11</v>
      </c>
      <c r="L603" s="108">
        <v>-28</v>
      </c>
      <c r="M603" s="108" t="s">
        <v>2365</v>
      </c>
      <c r="N603" s="108" t="s">
        <v>2366</v>
      </c>
    </row>
    <row r="604" spans="1:14">
      <c r="A604" s="108">
        <v>597</v>
      </c>
      <c r="B604" s="108">
        <f t="shared" si="83"/>
        <v>368</v>
      </c>
      <c r="C604" s="108">
        <f t="shared" si="84"/>
        <v>0</v>
      </c>
      <c r="F604" s="108" t="s">
        <v>2367</v>
      </c>
      <c r="G604" s="108">
        <v>10</v>
      </c>
      <c r="H604" s="108">
        <v>3</v>
      </c>
      <c r="I604" s="108">
        <v>19.100000000000001</v>
      </c>
      <c r="J604" s="108">
        <v>68</v>
      </c>
      <c r="K604" s="108">
        <v>44</v>
      </c>
      <c r="L604" s="108">
        <v>2</v>
      </c>
      <c r="M604" s="108" t="s">
        <v>2368</v>
      </c>
      <c r="N604" s="108" t="s">
        <v>2369</v>
      </c>
    </row>
    <row r="605" spans="1:14">
      <c r="A605" s="108">
        <v>598</v>
      </c>
      <c r="B605" s="108">
        <f t="shared" si="83"/>
        <v>368</v>
      </c>
      <c r="C605" s="108">
        <f t="shared" si="84"/>
        <v>0</v>
      </c>
      <c r="F605" s="108" t="s">
        <v>2370</v>
      </c>
      <c r="G605" s="108">
        <v>10</v>
      </c>
      <c r="H605" s="108">
        <v>3</v>
      </c>
      <c r="I605" s="108">
        <v>6.9</v>
      </c>
      <c r="J605" s="108">
        <v>-26</v>
      </c>
      <c r="K605" s="108">
        <v>-9</v>
      </c>
      <c r="L605" s="108">
        <v>-34</v>
      </c>
      <c r="M605" s="108" t="s">
        <v>2371</v>
      </c>
      <c r="N605" s="108" t="s">
        <v>2372</v>
      </c>
    </row>
    <row r="606" spans="1:14">
      <c r="A606" s="108">
        <v>599</v>
      </c>
      <c r="B606" s="108">
        <f t="shared" si="83"/>
        <v>368</v>
      </c>
      <c r="C606" s="108">
        <f t="shared" si="84"/>
        <v>0</v>
      </c>
      <c r="F606" s="108" t="s">
        <v>2373</v>
      </c>
      <c r="G606" s="108">
        <v>10</v>
      </c>
      <c r="H606" s="108">
        <v>5</v>
      </c>
      <c r="I606" s="108">
        <v>14</v>
      </c>
      <c r="J606" s="108">
        <v>-7</v>
      </c>
      <c r="K606" s="108">
        <v>-43</v>
      </c>
      <c r="L606" s="108">
        <v>-7</v>
      </c>
      <c r="M606" s="108" t="s">
        <v>2374</v>
      </c>
      <c r="N606" s="108" t="s">
        <v>2375</v>
      </c>
    </row>
    <row r="607" spans="1:14">
      <c r="A607" s="108">
        <v>600</v>
      </c>
      <c r="B607" s="108">
        <f t="shared" si="83"/>
        <v>368</v>
      </c>
      <c r="C607" s="108">
        <f t="shared" si="84"/>
        <v>0</v>
      </c>
      <c r="F607" s="108" t="s">
        <v>2376</v>
      </c>
      <c r="G607" s="108">
        <v>10</v>
      </c>
      <c r="H607" s="108">
        <v>13</v>
      </c>
      <c r="I607" s="108">
        <v>45.7</v>
      </c>
      <c r="J607" s="108">
        <v>3</v>
      </c>
      <c r="K607" s="108">
        <v>25</v>
      </c>
      <c r="L607" s="108">
        <v>29</v>
      </c>
      <c r="M607" s="108" t="s">
        <v>2377</v>
      </c>
      <c r="N607" s="108" t="s">
        <v>2378</v>
      </c>
    </row>
    <row r="608" spans="1:14">
      <c r="A608" s="108">
        <v>601</v>
      </c>
      <c r="B608" s="108">
        <f t="shared" si="83"/>
        <v>368</v>
      </c>
      <c r="C608" s="108">
        <f t="shared" si="84"/>
        <v>0</v>
      </c>
      <c r="F608" s="108" t="s">
        <v>2379</v>
      </c>
      <c r="G608" s="108">
        <v>10</v>
      </c>
      <c r="H608" s="108">
        <v>14</v>
      </c>
      <c r="I608" s="108">
        <v>15.1</v>
      </c>
      <c r="J608" s="108">
        <v>3</v>
      </c>
      <c r="K608" s="108">
        <v>7</v>
      </c>
      <c r="L608" s="108">
        <v>58</v>
      </c>
      <c r="M608" s="108" t="s">
        <v>2380</v>
      </c>
      <c r="N608" s="108" t="s">
        <v>2378</v>
      </c>
    </row>
    <row r="609" spans="1:14">
      <c r="A609" s="108">
        <v>602</v>
      </c>
      <c r="B609" s="108">
        <f t="shared" si="83"/>
        <v>368</v>
      </c>
      <c r="C609" s="108">
        <f t="shared" si="84"/>
        <v>0</v>
      </c>
      <c r="F609" s="108" t="s">
        <v>2381</v>
      </c>
      <c r="G609" s="108">
        <v>10</v>
      </c>
      <c r="H609" s="108">
        <v>18</v>
      </c>
      <c r="I609" s="108">
        <v>17</v>
      </c>
      <c r="J609" s="108">
        <v>41</v>
      </c>
      <c r="K609" s="108">
        <v>25</v>
      </c>
      <c r="L609" s="108">
        <v>28</v>
      </c>
      <c r="M609" s="108" t="s">
        <v>2382</v>
      </c>
      <c r="N609" s="108" t="s">
        <v>2383</v>
      </c>
    </row>
    <row r="610" spans="1:14">
      <c r="A610" s="108">
        <v>603</v>
      </c>
      <c r="B610" s="108">
        <f t="shared" si="83"/>
        <v>368</v>
      </c>
      <c r="C610" s="108">
        <f t="shared" si="84"/>
        <v>0</v>
      </c>
      <c r="F610" s="108" t="s">
        <v>2384</v>
      </c>
      <c r="G610" s="108">
        <v>10</v>
      </c>
      <c r="H610" s="108">
        <v>17</v>
      </c>
      <c r="I610" s="108">
        <v>38.6</v>
      </c>
      <c r="J610" s="108">
        <v>21</v>
      </c>
      <c r="K610" s="108">
        <v>41</v>
      </c>
      <c r="L610" s="108">
        <v>18</v>
      </c>
      <c r="M610" s="108" t="s">
        <v>2385</v>
      </c>
      <c r="N610" s="108" t="s">
        <v>2386</v>
      </c>
    </row>
    <row r="611" spans="1:14">
      <c r="A611" s="108">
        <v>604</v>
      </c>
      <c r="B611" s="108">
        <f t="shared" si="83"/>
        <v>368</v>
      </c>
      <c r="C611" s="108">
        <f t="shared" si="84"/>
        <v>0</v>
      </c>
      <c r="F611" s="108" t="s">
        <v>2387</v>
      </c>
      <c r="G611" s="108">
        <v>10</v>
      </c>
      <c r="H611" s="108">
        <v>18</v>
      </c>
      <c r="I611" s="108">
        <v>5.6</v>
      </c>
      <c r="J611" s="108">
        <v>21</v>
      </c>
      <c r="K611" s="108">
        <v>49</v>
      </c>
      <c r="L611" s="108">
        <v>55</v>
      </c>
      <c r="M611" s="108" t="s">
        <v>2388</v>
      </c>
      <c r="N611" s="108" t="s">
        <v>2389</v>
      </c>
    </row>
    <row r="612" spans="1:14">
      <c r="A612" s="108">
        <v>605</v>
      </c>
      <c r="B612" s="108">
        <f t="shared" si="83"/>
        <v>368</v>
      </c>
      <c r="C612" s="108">
        <f t="shared" si="84"/>
        <v>0</v>
      </c>
      <c r="F612" s="108" t="s">
        <v>2390</v>
      </c>
      <c r="G612" s="108">
        <v>10</v>
      </c>
      <c r="H612" s="108">
        <v>18</v>
      </c>
      <c r="I612" s="108">
        <v>24.9</v>
      </c>
      <c r="J612" s="108">
        <v>21</v>
      </c>
      <c r="K612" s="108">
        <v>53</v>
      </c>
      <c r="L612" s="108">
        <v>38</v>
      </c>
      <c r="M612" s="108" t="s">
        <v>2391</v>
      </c>
      <c r="N612" s="108" t="s">
        <v>2392</v>
      </c>
    </row>
    <row r="613" spans="1:14">
      <c r="A613" s="108">
        <v>606</v>
      </c>
      <c r="B613" s="108">
        <f t="shared" si="83"/>
        <v>368</v>
      </c>
      <c r="C613" s="108">
        <f t="shared" si="84"/>
        <v>0</v>
      </c>
      <c r="F613" s="108" t="s">
        <v>2393</v>
      </c>
      <c r="G613" s="108">
        <v>10</v>
      </c>
      <c r="H613" s="108">
        <v>19</v>
      </c>
      <c r="I613" s="108">
        <v>55</v>
      </c>
      <c r="J613" s="108">
        <v>45</v>
      </c>
      <c r="K613" s="108">
        <v>32</v>
      </c>
      <c r="L613" s="108">
        <v>59</v>
      </c>
      <c r="M613" s="108" t="s">
        <v>2394</v>
      </c>
      <c r="N613" s="108" t="s">
        <v>2395</v>
      </c>
    </row>
    <row r="614" spans="1:14">
      <c r="A614" s="108">
        <v>607</v>
      </c>
      <c r="B614" s="108">
        <f t="shared" si="83"/>
        <v>368</v>
      </c>
      <c r="C614" s="108">
        <f t="shared" si="84"/>
        <v>0</v>
      </c>
      <c r="F614" s="108" t="s">
        <v>2396</v>
      </c>
      <c r="G614" s="108">
        <v>10</v>
      </c>
      <c r="H614" s="108">
        <v>23</v>
      </c>
      <c r="I614" s="108">
        <v>27</v>
      </c>
      <c r="J614" s="108">
        <v>19</v>
      </c>
      <c r="K614" s="108">
        <v>53</v>
      </c>
      <c r="L614" s="108">
        <v>55</v>
      </c>
      <c r="M614" s="108" t="s">
        <v>2397</v>
      </c>
      <c r="N614" s="108" t="s">
        <v>2398</v>
      </c>
    </row>
    <row r="615" spans="1:14">
      <c r="A615" s="108">
        <v>608</v>
      </c>
      <c r="B615" s="108">
        <f t="shared" si="83"/>
        <v>368</v>
      </c>
      <c r="C615" s="108">
        <f t="shared" si="84"/>
        <v>0</v>
      </c>
      <c r="F615" s="108" t="s">
        <v>2399</v>
      </c>
      <c r="G615" s="108">
        <v>10</v>
      </c>
      <c r="H615" s="108">
        <v>23</v>
      </c>
      <c r="I615" s="108">
        <v>30.6</v>
      </c>
      <c r="J615" s="108">
        <v>19</v>
      </c>
      <c r="K615" s="108">
        <v>51</v>
      </c>
      <c r="L615" s="108">
        <v>54</v>
      </c>
      <c r="M615" s="108" t="s">
        <v>2400</v>
      </c>
      <c r="N615" s="108" t="s">
        <v>2398</v>
      </c>
    </row>
    <row r="616" spans="1:14">
      <c r="A616" s="108">
        <v>609</v>
      </c>
      <c r="B616" s="108">
        <f t="shared" si="83"/>
        <v>368</v>
      </c>
      <c r="C616" s="108">
        <f t="shared" si="84"/>
        <v>0</v>
      </c>
      <c r="F616" s="108" t="s">
        <v>2401</v>
      </c>
      <c r="G616" s="108">
        <v>10</v>
      </c>
      <c r="H616" s="108">
        <v>25</v>
      </c>
      <c r="I616" s="108">
        <v>6.1</v>
      </c>
      <c r="J616" s="108">
        <v>17</v>
      </c>
      <c r="K616" s="108">
        <v>7</v>
      </c>
      <c r="L616" s="108">
        <v>38</v>
      </c>
      <c r="M616" s="108" t="s">
        <v>2402</v>
      </c>
      <c r="N616" s="108" t="s">
        <v>2403</v>
      </c>
    </row>
    <row r="617" spans="1:14">
      <c r="A617" s="108">
        <v>610</v>
      </c>
      <c r="B617" s="108">
        <f t="shared" si="83"/>
        <v>368</v>
      </c>
      <c r="C617" s="108">
        <f t="shared" si="84"/>
        <v>0</v>
      </c>
      <c r="F617" s="108" t="s">
        <v>2404</v>
      </c>
      <c r="G617" s="108">
        <v>10</v>
      </c>
      <c r="H617" s="108">
        <v>24</v>
      </c>
      <c r="I617" s="108">
        <v>46.1</v>
      </c>
      <c r="J617" s="108">
        <v>-18</v>
      </c>
      <c r="K617" s="108">
        <v>-38</v>
      </c>
      <c r="L617" s="108">
        <v>-33</v>
      </c>
      <c r="M617" s="108" t="s">
        <v>2405</v>
      </c>
      <c r="N617" s="108" t="s">
        <v>2406</v>
      </c>
    </row>
    <row r="618" spans="1:14">
      <c r="A618" s="108">
        <v>611</v>
      </c>
      <c r="B618" s="108">
        <f t="shared" si="83"/>
        <v>368</v>
      </c>
      <c r="C618" s="108">
        <f t="shared" si="84"/>
        <v>0</v>
      </c>
      <c r="F618" s="108" t="s">
        <v>2407</v>
      </c>
      <c r="G618" s="108">
        <v>10</v>
      </c>
      <c r="H618" s="108">
        <v>39</v>
      </c>
      <c r="I618" s="108">
        <v>9.5</v>
      </c>
      <c r="J618" s="108">
        <v>41</v>
      </c>
      <c r="K618" s="108">
        <v>41</v>
      </c>
      <c r="L618" s="108">
        <v>13</v>
      </c>
      <c r="M618" s="108" t="s">
        <v>2408</v>
      </c>
      <c r="N618" s="108" t="s">
        <v>2409</v>
      </c>
    </row>
    <row r="619" spans="1:14">
      <c r="A619" s="108">
        <v>612</v>
      </c>
      <c r="B619" s="108">
        <f t="shared" si="83"/>
        <v>368</v>
      </c>
      <c r="C619" s="108">
        <f t="shared" si="84"/>
        <v>0</v>
      </c>
      <c r="F619" s="108" t="s">
        <v>2410</v>
      </c>
      <c r="G619" s="108">
        <v>10</v>
      </c>
      <c r="H619" s="108">
        <v>42</v>
      </c>
      <c r="I619" s="108">
        <v>7.5</v>
      </c>
      <c r="J619" s="108">
        <v>13</v>
      </c>
      <c r="K619" s="108">
        <v>44</v>
      </c>
      <c r="L619" s="108">
        <v>49</v>
      </c>
      <c r="M619" s="108" t="s">
        <v>2411</v>
      </c>
      <c r="N619" s="108" t="s">
        <v>2412</v>
      </c>
    </row>
    <row r="620" spans="1:14">
      <c r="A620" s="108">
        <v>613</v>
      </c>
      <c r="B620" s="108">
        <f t="shared" si="83"/>
        <v>368</v>
      </c>
      <c r="C620" s="108">
        <f t="shared" si="84"/>
        <v>0</v>
      </c>
      <c r="F620" s="108" t="s">
        <v>2413</v>
      </c>
      <c r="G620" s="108">
        <v>10</v>
      </c>
      <c r="H620" s="108">
        <v>43</v>
      </c>
      <c r="I620" s="108">
        <v>31.1</v>
      </c>
      <c r="J620" s="108">
        <v>24</v>
      </c>
      <c r="K620" s="108">
        <v>55</v>
      </c>
      <c r="L620" s="108">
        <v>20</v>
      </c>
      <c r="M620" s="108" t="s">
        <v>2414</v>
      </c>
      <c r="N620" s="108" t="s">
        <v>2415</v>
      </c>
    </row>
    <row r="621" spans="1:14">
      <c r="A621" s="108">
        <v>614</v>
      </c>
      <c r="B621" s="108">
        <f t="shared" si="83"/>
        <v>368</v>
      </c>
      <c r="C621" s="108">
        <f t="shared" si="84"/>
        <v>0</v>
      </c>
      <c r="F621" s="108" t="s">
        <v>2416</v>
      </c>
      <c r="G621" s="108">
        <v>10</v>
      </c>
      <c r="H621" s="108">
        <v>48</v>
      </c>
      <c r="I621" s="108">
        <v>16.899999999999999</v>
      </c>
      <c r="J621" s="108">
        <v>12</v>
      </c>
      <c r="K621" s="108">
        <v>37</v>
      </c>
      <c r="L621" s="108">
        <v>45</v>
      </c>
      <c r="M621" s="108" t="s">
        <v>2417</v>
      </c>
      <c r="N621" s="108" t="s">
        <v>2403</v>
      </c>
    </row>
    <row r="622" spans="1:14">
      <c r="A622" s="108">
        <v>615</v>
      </c>
      <c r="B622" s="108">
        <f t="shared" si="83"/>
        <v>368</v>
      </c>
      <c r="C622" s="108">
        <f t="shared" si="84"/>
        <v>0</v>
      </c>
      <c r="F622" s="108" t="s">
        <v>2418</v>
      </c>
      <c r="G622" s="108">
        <v>10</v>
      </c>
      <c r="H622" s="108">
        <v>47</v>
      </c>
      <c r="I622" s="108">
        <v>42.4</v>
      </c>
      <c r="J622" s="108">
        <v>13</v>
      </c>
      <c r="K622" s="108">
        <v>59</v>
      </c>
      <c r="L622" s="108">
        <v>8</v>
      </c>
      <c r="M622" s="108" t="s">
        <v>2419</v>
      </c>
      <c r="N622" s="108" t="s">
        <v>2420</v>
      </c>
    </row>
    <row r="623" spans="1:14">
      <c r="A623" s="108">
        <v>616</v>
      </c>
      <c r="B623" s="108">
        <f t="shared" si="83"/>
        <v>368</v>
      </c>
      <c r="C623" s="108">
        <f t="shared" si="84"/>
        <v>0</v>
      </c>
      <c r="F623" s="108" t="s">
        <v>2421</v>
      </c>
      <c r="G623" s="108">
        <v>10</v>
      </c>
      <c r="H623" s="108">
        <v>48</v>
      </c>
      <c r="I623" s="108">
        <v>16.899999999999999</v>
      </c>
      <c r="J623" s="108">
        <v>12</v>
      </c>
      <c r="K623" s="108">
        <v>37</v>
      </c>
      <c r="L623" s="108">
        <v>45</v>
      </c>
      <c r="M623" s="108" t="s">
        <v>2417</v>
      </c>
      <c r="N623" s="108" t="s">
        <v>2403</v>
      </c>
    </row>
    <row r="624" spans="1:14">
      <c r="A624" s="108">
        <v>617</v>
      </c>
      <c r="B624" s="108">
        <f t="shared" si="83"/>
        <v>368</v>
      </c>
      <c r="C624" s="108">
        <f t="shared" si="84"/>
        <v>0</v>
      </c>
      <c r="F624" s="108" t="s">
        <v>2422</v>
      </c>
      <c r="G624" s="108">
        <v>10</v>
      </c>
      <c r="H624" s="108">
        <v>50</v>
      </c>
      <c r="I624" s="108">
        <v>53.3</v>
      </c>
      <c r="J624" s="108">
        <v>13</v>
      </c>
      <c r="K624" s="108">
        <v>24</v>
      </c>
      <c r="L624" s="108">
        <v>44</v>
      </c>
      <c r="M624" s="108" t="s">
        <v>2423</v>
      </c>
      <c r="N624" s="108" t="s">
        <v>2155</v>
      </c>
    </row>
    <row r="625" spans="1:14">
      <c r="A625" s="108">
        <v>618</v>
      </c>
      <c r="B625" s="108">
        <f t="shared" si="83"/>
        <v>368</v>
      </c>
      <c r="C625" s="108">
        <f t="shared" si="84"/>
        <v>0</v>
      </c>
      <c r="F625" s="108" t="s">
        <v>2424</v>
      </c>
      <c r="G625" s="108">
        <v>10</v>
      </c>
      <c r="H625" s="108">
        <v>51</v>
      </c>
      <c r="I625" s="108">
        <v>16.2</v>
      </c>
      <c r="J625" s="108">
        <v>27</v>
      </c>
      <c r="K625" s="108">
        <v>58</v>
      </c>
      <c r="L625" s="108">
        <v>30</v>
      </c>
      <c r="M625" s="108" t="s">
        <v>2425</v>
      </c>
      <c r="N625" s="108" t="s">
        <v>2155</v>
      </c>
    </row>
    <row r="626" spans="1:14">
      <c r="A626" s="108">
        <v>619</v>
      </c>
      <c r="B626" s="108">
        <f t="shared" si="83"/>
        <v>368</v>
      </c>
      <c r="C626" s="108">
        <f t="shared" si="84"/>
        <v>0</v>
      </c>
      <c r="F626" s="108" t="s">
        <v>2426</v>
      </c>
      <c r="G626" s="108">
        <v>11</v>
      </c>
      <c r="H626" s="108">
        <v>0</v>
      </c>
      <c r="I626" s="108">
        <v>23.9</v>
      </c>
      <c r="J626" s="108">
        <v>28</v>
      </c>
      <c r="K626" s="108">
        <v>58</v>
      </c>
      <c r="L626" s="108">
        <v>29</v>
      </c>
      <c r="M626" s="108" t="s">
        <v>2427</v>
      </c>
      <c r="N626" s="108" t="s">
        <v>2428</v>
      </c>
    </row>
    <row r="627" spans="1:14">
      <c r="A627" s="108">
        <v>620</v>
      </c>
      <c r="B627" s="108">
        <f t="shared" si="83"/>
        <v>368</v>
      </c>
      <c r="C627" s="108">
        <f t="shared" si="84"/>
        <v>0</v>
      </c>
      <c r="F627" s="108" t="s">
        <v>2429</v>
      </c>
      <c r="G627" s="108">
        <v>11</v>
      </c>
      <c r="H627" s="108">
        <v>0</v>
      </c>
      <c r="I627" s="108">
        <v>18.600000000000001</v>
      </c>
      <c r="J627" s="108">
        <v>13</v>
      </c>
      <c r="K627" s="108">
        <v>54</v>
      </c>
      <c r="L627" s="108">
        <v>5</v>
      </c>
      <c r="M627" s="108" t="s">
        <v>2430</v>
      </c>
      <c r="N627" s="108" t="s">
        <v>2155</v>
      </c>
    </row>
    <row r="628" spans="1:14">
      <c r="A628" s="108">
        <v>621</v>
      </c>
      <c r="B628" s="108">
        <f t="shared" si="83"/>
        <v>368</v>
      </c>
      <c r="C628" s="108">
        <f t="shared" si="84"/>
        <v>0</v>
      </c>
      <c r="F628" s="108" t="s">
        <v>2431</v>
      </c>
      <c r="G628" s="108">
        <v>11</v>
      </c>
      <c r="H628" s="108">
        <v>3</v>
      </c>
      <c r="I628" s="108">
        <v>11.2</v>
      </c>
      <c r="J628" s="108">
        <v>27</v>
      </c>
      <c r="K628" s="108">
        <v>58</v>
      </c>
      <c r="L628" s="108">
        <v>21</v>
      </c>
      <c r="M628" s="108" t="s">
        <v>2432</v>
      </c>
      <c r="N628" s="108" t="s">
        <v>2155</v>
      </c>
    </row>
    <row r="629" spans="1:14">
      <c r="A629" s="108">
        <v>622</v>
      </c>
      <c r="B629" s="108">
        <f t="shared" si="83"/>
        <v>368</v>
      </c>
      <c r="C629" s="108">
        <f t="shared" si="84"/>
        <v>0</v>
      </c>
      <c r="F629" s="108" t="s">
        <v>2433</v>
      </c>
      <c r="G629" s="108">
        <v>11</v>
      </c>
      <c r="H629" s="108">
        <v>5</v>
      </c>
      <c r="I629" s="108">
        <v>48.6</v>
      </c>
      <c r="J629" s="108">
        <v>0</v>
      </c>
      <c r="K629" s="108">
        <v>-2</v>
      </c>
      <c r="L629" s="108">
        <v>-9</v>
      </c>
      <c r="M629" s="108" t="s">
        <v>2434</v>
      </c>
      <c r="N629" s="108" t="s">
        <v>2435</v>
      </c>
    </row>
    <row r="630" spans="1:14">
      <c r="A630" s="108">
        <v>623</v>
      </c>
      <c r="B630" s="108">
        <f t="shared" si="83"/>
        <v>368</v>
      </c>
      <c r="C630" s="108">
        <f t="shared" si="84"/>
        <v>0</v>
      </c>
      <c r="F630" s="108" t="s">
        <v>2436</v>
      </c>
      <c r="G630" s="108">
        <v>11</v>
      </c>
      <c r="H630" s="108">
        <v>13</v>
      </c>
      <c r="I630" s="108">
        <v>17.100000000000001</v>
      </c>
      <c r="J630" s="108">
        <v>-26</v>
      </c>
      <c r="K630" s="108">
        <v>-45</v>
      </c>
      <c r="L630" s="108">
        <v>-18</v>
      </c>
      <c r="M630" s="108" t="s">
        <v>2437</v>
      </c>
      <c r="N630" s="108" t="s">
        <v>2284</v>
      </c>
    </row>
    <row r="631" spans="1:14">
      <c r="A631" s="108">
        <v>624</v>
      </c>
      <c r="B631" s="108">
        <f t="shared" si="83"/>
        <v>368</v>
      </c>
      <c r="C631" s="108">
        <f t="shared" si="84"/>
        <v>0</v>
      </c>
      <c r="F631" s="108" t="s">
        <v>2438</v>
      </c>
      <c r="G631" s="108">
        <v>11</v>
      </c>
      <c r="H631" s="108">
        <v>14</v>
      </c>
      <c r="I631" s="108">
        <v>37</v>
      </c>
      <c r="J631" s="108">
        <v>12</v>
      </c>
      <c r="K631" s="108">
        <v>49</v>
      </c>
      <c r="L631" s="108">
        <v>5</v>
      </c>
      <c r="M631" s="108" t="s">
        <v>2439</v>
      </c>
      <c r="N631" s="108" t="s">
        <v>2440</v>
      </c>
    </row>
    <row r="632" spans="1:14">
      <c r="A632" s="108">
        <v>625</v>
      </c>
      <c r="B632" s="108">
        <f t="shared" si="83"/>
        <v>368</v>
      </c>
      <c r="C632" s="108">
        <f t="shared" si="84"/>
        <v>0</v>
      </c>
      <c r="F632" s="108" t="s">
        <v>2441</v>
      </c>
      <c r="G632" s="108">
        <v>11</v>
      </c>
      <c r="H632" s="108">
        <v>16</v>
      </c>
      <c r="I632" s="108">
        <v>54.7</v>
      </c>
      <c r="J632" s="108">
        <v>18</v>
      </c>
      <c r="K632" s="108">
        <v>3</v>
      </c>
      <c r="L632" s="108">
        <v>7</v>
      </c>
      <c r="M632" s="108" t="s">
        <v>2442</v>
      </c>
      <c r="N632" s="108" t="s">
        <v>2443</v>
      </c>
    </row>
    <row r="633" spans="1:14">
      <c r="A633" s="108">
        <v>626</v>
      </c>
      <c r="B633" s="108">
        <f t="shared" si="83"/>
        <v>368</v>
      </c>
      <c r="C633" s="108">
        <f t="shared" si="84"/>
        <v>0</v>
      </c>
      <c r="F633" s="108" t="s">
        <v>2444</v>
      </c>
      <c r="G633" s="108">
        <v>11</v>
      </c>
      <c r="H633" s="108">
        <v>16</v>
      </c>
      <c r="I633" s="108">
        <v>59</v>
      </c>
      <c r="J633" s="108">
        <v>18</v>
      </c>
      <c r="K633" s="108">
        <v>8</v>
      </c>
      <c r="L633" s="108">
        <v>55</v>
      </c>
      <c r="M633" s="108" t="s">
        <v>2445</v>
      </c>
      <c r="N633" s="108" t="s">
        <v>2155</v>
      </c>
    </row>
    <row r="634" spans="1:14">
      <c r="A634" s="108">
        <v>627</v>
      </c>
      <c r="B634" s="108">
        <f t="shared" si="83"/>
        <v>368</v>
      </c>
      <c r="C634" s="108">
        <f t="shared" si="84"/>
        <v>0</v>
      </c>
      <c r="F634" s="108" t="s">
        <v>2446</v>
      </c>
      <c r="G634" s="108">
        <v>11</v>
      </c>
      <c r="H634" s="108">
        <v>18</v>
      </c>
      <c r="I634" s="108">
        <v>16.3</v>
      </c>
      <c r="J634" s="108">
        <v>-32</v>
      </c>
      <c r="K634" s="108">
        <v>-48</v>
      </c>
      <c r="L634" s="108">
        <v>-45</v>
      </c>
      <c r="M634" s="108" t="s">
        <v>2447</v>
      </c>
      <c r="N634" s="108" t="s">
        <v>2448</v>
      </c>
    </row>
    <row r="635" spans="1:14">
      <c r="A635" s="108">
        <v>628</v>
      </c>
      <c r="B635" s="108">
        <f t="shared" si="83"/>
        <v>368</v>
      </c>
      <c r="C635" s="108">
        <f t="shared" si="84"/>
        <v>0</v>
      </c>
      <c r="F635" s="108" t="s">
        <v>2449</v>
      </c>
      <c r="G635" s="108">
        <v>11</v>
      </c>
      <c r="H635" s="108">
        <v>20</v>
      </c>
      <c r="I635" s="108">
        <v>3.8</v>
      </c>
      <c r="J635" s="108">
        <v>18</v>
      </c>
      <c r="K635" s="108">
        <v>21</v>
      </c>
      <c r="L635" s="108">
        <v>24</v>
      </c>
      <c r="M635" s="108" t="s">
        <v>2450</v>
      </c>
      <c r="N635" s="108" t="s">
        <v>2451</v>
      </c>
    </row>
    <row r="636" spans="1:14">
      <c r="A636" s="108">
        <v>629</v>
      </c>
      <c r="B636" s="108">
        <f t="shared" si="83"/>
        <v>368</v>
      </c>
      <c r="C636" s="108">
        <f t="shared" si="84"/>
        <v>0</v>
      </c>
      <c r="F636" s="108" t="s">
        <v>2452</v>
      </c>
      <c r="G636" s="108">
        <v>11</v>
      </c>
      <c r="H636" s="108">
        <v>20</v>
      </c>
      <c r="I636" s="108">
        <v>17</v>
      </c>
      <c r="J636" s="108">
        <v>13</v>
      </c>
      <c r="K636" s="108">
        <v>35</v>
      </c>
      <c r="L636" s="108">
        <v>22</v>
      </c>
      <c r="M636" s="108" t="s">
        <v>2453</v>
      </c>
      <c r="N636" s="108" t="s">
        <v>2454</v>
      </c>
    </row>
    <row r="637" spans="1:14">
      <c r="A637" s="108">
        <v>630</v>
      </c>
      <c r="B637" s="108">
        <f t="shared" si="83"/>
        <v>368</v>
      </c>
      <c r="C637" s="108">
        <f t="shared" si="84"/>
        <v>0</v>
      </c>
      <c r="F637" s="108" t="s">
        <v>2455</v>
      </c>
      <c r="G637" s="108">
        <v>11</v>
      </c>
      <c r="H637" s="108">
        <v>21</v>
      </c>
      <c r="I637" s="108">
        <v>6.8</v>
      </c>
      <c r="J637" s="108">
        <v>3</v>
      </c>
      <c r="K637" s="108">
        <v>14</v>
      </c>
      <c r="L637" s="108">
        <v>5</v>
      </c>
      <c r="M637" s="108" t="s">
        <v>2456</v>
      </c>
      <c r="N637" s="108" t="s">
        <v>2155</v>
      </c>
    </row>
    <row r="638" spans="1:14">
      <c r="A638" s="108">
        <v>631</v>
      </c>
      <c r="B638" s="108">
        <f t="shared" si="83"/>
        <v>368</v>
      </c>
      <c r="C638" s="108">
        <f t="shared" si="84"/>
        <v>0</v>
      </c>
      <c r="F638" s="108" t="s">
        <v>2457</v>
      </c>
      <c r="G638" s="108">
        <v>11</v>
      </c>
      <c r="H638" s="108">
        <v>21</v>
      </c>
      <c r="I638" s="108">
        <v>43.1</v>
      </c>
      <c r="J638" s="108">
        <v>20</v>
      </c>
      <c r="K638" s="108">
        <v>10</v>
      </c>
      <c r="L638" s="108">
        <v>10</v>
      </c>
      <c r="M638" s="108" t="s">
        <v>2458</v>
      </c>
      <c r="N638" s="108" t="s">
        <v>2155</v>
      </c>
    </row>
    <row r="639" spans="1:14">
      <c r="A639" s="108">
        <v>632</v>
      </c>
      <c r="B639" s="108">
        <f t="shared" si="83"/>
        <v>368</v>
      </c>
      <c r="C639" s="108">
        <f t="shared" si="84"/>
        <v>0</v>
      </c>
      <c r="F639" s="108" t="s">
        <v>2459</v>
      </c>
      <c r="G639" s="108">
        <v>11</v>
      </c>
      <c r="H639" s="108">
        <v>26</v>
      </c>
      <c r="I639" s="108">
        <v>8.6</v>
      </c>
      <c r="J639" s="108">
        <v>43</v>
      </c>
      <c r="K639" s="108">
        <v>35</v>
      </c>
      <c r="L639" s="108">
        <v>9</v>
      </c>
      <c r="M639" s="108" t="s">
        <v>2460</v>
      </c>
      <c r="N639" s="108" t="s">
        <v>2155</v>
      </c>
    </row>
    <row r="640" spans="1:14">
      <c r="A640" s="108">
        <v>633</v>
      </c>
      <c r="B640" s="108">
        <f t="shared" si="83"/>
        <v>368</v>
      </c>
      <c r="C640" s="108">
        <f t="shared" si="84"/>
        <v>0</v>
      </c>
      <c r="F640" s="108" t="s">
        <v>2461</v>
      </c>
      <c r="G640" s="108">
        <v>11</v>
      </c>
      <c r="H640" s="108">
        <v>32</v>
      </c>
      <c r="I640" s="108">
        <v>34.9</v>
      </c>
      <c r="J640" s="108">
        <v>53</v>
      </c>
      <c r="K640" s="108">
        <v>4</v>
      </c>
      <c r="L640" s="108">
        <v>4</v>
      </c>
      <c r="M640" s="108" t="s">
        <v>2462</v>
      </c>
      <c r="N640" s="108" t="s">
        <v>2463</v>
      </c>
    </row>
    <row r="641" spans="1:14">
      <c r="A641" s="108">
        <v>634</v>
      </c>
      <c r="B641" s="108">
        <f t="shared" si="83"/>
        <v>368</v>
      </c>
      <c r="C641" s="108">
        <f t="shared" si="84"/>
        <v>0</v>
      </c>
      <c r="F641" s="108" t="s">
        <v>2464</v>
      </c>
      <c r="G641" s="108">
        <v>11</v>
      </c>
      <c r="H641" s="108">
        <v>40</v>
      </c>
      <c r="I641" s="108">
        <v>58.7</v>
      </c>
      <c r="J641" s="108">
        <v>11</v>
      </c>
      <c r="K641" s="108">
        <v>28</v>
      </c>
      <c r="L641" s="108">
        <v>16</v>
      </c>
      <c r="M641" s="108" t="s">
        <v>2465</v>
      </c>
      <c r="N641" s="108" t="s">
        <v>2466</v>
      </c>
    </row>
    <row r="642" spans="1:14">
      <c r="A642" s="108">
        <v>635</v>
      </c>
      <c r="B642" s="108">
        <f t="shared" si="83"/>
        <v>368</v>
      </c>
      <c r="C642" s="108">
        <f t="shared" si="84"/>
        <v>0</v>
      </c>
      <c r="F642" s="108" t="s">
        <v>2467</v>
      </c>
      <c r="G642" s="108">
        <v>11</v>
      </c>
      <c r="H642" s="108">
        <v>44</v>
      </c>
      <c r="I642" s="108">
        <v>2.2000000000000002</v>
      </c>
      <c r="J642" s="108">
        <v>19</v>
      </c>
      <c r="K642" s="108">
        <v>56</v>
      </c>
      <c r="L642" s="108">
        <v>59</v>
      </c>
      <c r="M642" s="108" t="s">
        <v>2468</v>
      </c>
      <c r="N642" s="108" t="s">
        <v>2469</v>
      </c>
    </row>
    <row r="643" spans="1:14">
      <c r="A643" s="108">
        <v>636</v>
      </c>
      <c r="B643" s="108">
        <f t="shared" si="83"/>
        <v>368</v>
      </c>
      <c r="C643" s="108">
        <f t="shared" si="84"/>
        <v>0</v>
      </c>
      <c r="F643" s="108" t="s">
        <v>2470</v>
      </c>
      <c r="G643" s="108">
        <v>11</v>
      </c>
      <c r="H643" s="108">
        <v>51</v>
      </c>
      <c r="I643" s="108">
        <v>1.8</v>
      </c>
      <c r="J643" s="108">
        <v>-28</v>
      </c>
      <c r="K643" s="108">
        <v>-48</v>
      </c>
      <c r="L643" s="108">
        <v>-22</v>
      </c>
      <c r="M643" s="108" t="s">
        <v>2471</v>
      </c>
      <c r="N643" s="108" t="s">
        <v>2472</v>
      </c>
    </row>
    <row r="644" spans="1:14">
      <c r="A644" s="108">
        <v>637</v>
      </c>
      <c r="B644" s="108">
        <f t="shared" si="83"/>
        <v>368</v>
      </c>
      <c r="C644" s="108">
        <f t="shared" si="84"/>
        <v>0</v>
      </c>
      <c r="F644" s="108" t="s">
        <v>2473</v>
      </c>
      <c r="G644" s="108">
        <v>11</v>
      </c>
      <c r="H644" s="108">
        <v>52</v>
      </c>
      <c r="I644" s="108">
        <v>55.4</v>
      </c>
      <c r="J644" s="108">
        <v>36</v>
      </c>
      <c r="K644" s="108">
        <v>59</v>
      </c>
      <c r="L644" s="108">
        <v>11</v>
      </c>
      <c r="M644" s="108" t="s">
        <v>2474</v>
      </c>
      <c r="N644" s="108" t="s">
        <v>2475</v>
      </c>
    </row>
    <row r="645" spans="1:14">
      <c r="A645" s="108">
        <v>638</v>
      </c>
      <c r="B645" s="108">
        <f t="shared" si="83"/>
        <v>368</v>
      </c>
      <c r="C645" s="108">
        <f t="shared" si="84"/>
        <v>0</v>
      </c>
      <c r="F645" s="108" t="s">
        <v>2476</v>
      </c>
      <c r="G645" s="108">
        <v>11</v>
      </c>
      <c r="H645" s="108">
        <v>53</v>
      </c>
      <c r="I645" s="108">
        <v>46</v>
      </c>
      <c r="J645" s="108">
        <v>52</v>
      </c>
      <c r="K645" s="108">
        <v>19</v>
      </c>
      <c r="L645" s="108">
        <v>36</v>
      </c>
      <c r="M645" s="108" t="s">
        <v>2477</v>
      </c>
    </row>
    <row r="646" spans="1:14">
      <c r="A646" s="108">
        <v>639</v>
      </c>
      <c r="B646" s="108">
        <f t="shared" ref="B646:B709" si="85">IF(B645=F646,A646,B645)</f>
        <v>368</v>
      </c>
      <c r="C646" s="108">
        <f t="shared" ref="C646:C709" si="86" xml:space="preserve"> IF(C645=F646,A646,C645)</f>
        <v>0</v>
      </c>
      <c r="F646" s="108" t="s">
        <v>2478</v>
      </c>
      <c r="G646" s="108">
        <v>12</v>
      </c>
      <c r="H646" s="108">
        <v>1</v>
      </c>
      <c r="I646" s="108">
        <v>53</v>
      </c>
      <c r="J646" s="108">
        <v>-18</v>
      </c>
      <c r="K646" s="108">
        <v>-52</v>
      </c>
      <c r="L646" s="108">
        <v>-3</v>
      </c>
      <c r="M646" s="108" t="s">
        <v>2479</v>
      </c>
      <c r="N646" s="108" t="s">
        <v>2480</v>
      </c>
    </row>
    <row r="647" spans="1:14">
      <c r="A647" s="108">
        <v>640</v>
      </c>
      <c r="B647" s="108">
        <f t="shared" si="85"/>
        <v>368</v>
      </c>
      <c r="C647" s="108">
        <f t="shared" si="86"/>
        <v>0</v>
      </c>
      <c r="F647" s="108" t="s">
        <v>2481</v>
      </c>
      <c r="G647" s="108">
        <v>12</v>
      </c>
      <c r="H647" s="108">
        <v>1</v>
      </c>
      <c r="I647" s="108">
        <v>53.9</v>
      </c>
      <c r="J647" s="108">
        <v>-18</v>
      </c>
      <c r="K647" s="108">
        <v>-51</v>
      </c>
      <c r="L647" s="108">
        <v>-6</v>
      </c>
      <c r="M647" s="108" t="s">
        <v>2482</v>
      </c>
      <c r="N647" s="108" t="s">
        <v>2480</v>
      </c>
    </row>
    <row r="648" spans="1:14">
      <c r="A648" s="108">
        <v>641</v>
      </c>
      <c r="B648" s="108">
        <f t="shared" si="85"/>
        <v>368</v>
      </c>
      <c r="C648" s="108">
        <f t="shared" si="86"/>
        <v>0</v>
      </c>
      <c r="F648" s="108" t="s">
        <v>2483</v>
      </c>
      <c r="G648" s="108">
        <v>12</v>
      </c>
      <c r="H648" s="108">
        <v>8</v>
      </c>
      <c r="I648" s="108">
        <v>6</v>
      </c>
      <c r="J648" s="108">
        <v>65</v>
      </c>
      <c r="K648" s="108">
        <v>10</v>
      </c>
      <c r="L648" s="108">
        <v>27</v>
      </c>
      <c r="M648" s="108" t="s">
        <v>2484</v>
      </c>
      <c r="N648" s="108" t="s">
        <v>2485</v>
      </c>
    </row>
    <row r="649" spans="1:14">
      <c r="A649" s="108">
        <v>642</v>
      </c>
      <c r="B649" s="108">
        <f t="shared" si="85"/>
        <v>368</v>
      </c>
      <c r="C649" s="108">
        <f t="shared" si="86"/>
        <v>0</v>
      </c>
      <c r="F649" s="108" t="s">
        <v>2486</v>
      </c>
      <c r="G649" s="108">
        <v>12</v>
      </c>
      <c r="H649" s="108">
        <v>10</v>
      </c>
      <c r="I649" s="108">
        <v>32.6</v>
      </c>
      <c r="J649" s="108">
        <v>39</v>
      </c>
      <c r="K649" s="108">
        <v>24</v>
      </c>
      <c r="L649" s="108">
        <v>21</v>
      </c>
      <c r="M649" s="108" t="s">
        <v>2487</v>
      </c>
      <c r="N649" s="108" t="s">
        <v>2488</v>
      </c>
    </row>
    <row r="650" spans="1:14">
      <c r="A650" s="108">
        <v>643</v>
      </c>
      <c r="B650" s="108">
        <f t="shared" si="85"/>
        <v>368</v>
      </c>
      <c r="C650" s="108">
        <f t="shared" si="86"/>
        <v>0</v>
      </c>
      <c r="F650" s="108" t="s">
        <v>2489</v>
      </c>
      <c r="G650" s="108">
        <v>12</v>
      </c>
      <c r="H650" s="108">
        <v>15</v>
      </c>
      <c r="I650" s="108">
        <v>39.200000000000003</v>
      </c>
      <c r="J650" s="108">
        <v>36</v>
      </c>
      <c r="K650" s="108">
        <v>19</v>
      </c>
      <c r="L650" s="108">
        <v>37</v>
      </c>
      <c r="M650" s="108" t="s">
        <v>2490</v>
      </c>
      <c r="N650" s="108" t="s">
        <v>2491</v>
      </c>
    </row>
    <row r="651" spans="1:14">
      <c r="A651" s="108">
        <v>644</v>
      </c>
      <c r="B651" s="108">
        <f t="shared" si="85"/>
        <v>368</v>
      </c>
      <c r="C651" s="108">
        <f t="shared" si="86"/>
        <v>0</v>
      </c>
      <c r="F651" s="108" t="s">
        <v>2492</v>
      </c>
      <c r="G651" s="108">
        <v>12</v>
      </c>
      <c r="H651" s="108">
        <v>16</v>
      </c>
      <c r="I651" s="108">
        <v>42.2</v>
      </c>
      <c r="J651" s="108">
        <v>69</v>
      </c>
      <c r="K651" s="108">
        <v>27</v>
      </c>
      <c r="L651" s="108">
        <v>45</v>
      </c>
      <c r="M651" s="108" t="s">
        <v>2493</v>
      </c>
      <c r="N651" s="108" t="s">
        <v>2494</v>
      </c>
    </row>
    <row r="652" spans="1:14">
      <c r="A652" s="108">
        <v>645</v>
      </c>
      <c r="B652" s="108">
        <f t="shared" si="85"/>
        <v>368</v>
      </c>
      <c r="C652" s="108">
        <f t="shared" si="86"/>
        <v>0</v>
      </c>
      <c r="F652" s="108" t="s">
        <v>2495</v>
      </c>
      <c r="G652" s="108">
        <v>12</v>
      </c>
      <c r="H652" s="108">
        <v>17</v>
      </c>
      <c r="I652" s="108">
        <v>29.7</v>
      </c>
      <c r="J652" s="108">
        <v>37</v>
      </c>
      <c r="K652" s="108">
        <v>48</v>
      </c>
      <c r="L652" s="108">
        <v>26</v>
      </c>
      <c r="M652" s="108" t="s">
        <v>2496</v>
      </c>
      <c r="N652" s="108" t="s">
        <v>2497</v>
      </c>
    </row>
    <row r="653" spans="1:14">
      <c r="A653" s="108">
        <v>646</v>
      </c>
      <c r="B653" s="108">
        <f t="shared" si="85"/>
        <v>368</v>
      </c>
      <c r="C653" s="108">
        <f t="shared" si="86"/>
        <v>0</v>
      </c>
      <c r="F653" s="108" t="s">
        <v>2498</v>
      </c>
      <c r="G653" s="108">
        <v>12</v>
      </c>
      <c r="H653" s="108">
        <v>24</v>
      </c>
      <c r="I653" s="108">
        <v>28.3</v>
      </c>
      <c r="J653" s="108">
        <v>7</v>
      </c>
      <c r="K653" s="108">
        <v>19</v>
      </c>
      <c r="L653" s="108">
        <v>3</v>
      </c>
      <c r="M653" s="108" t="s">
        <v>2499</v>
      </c>
      <c r="N653" s="108" t="s">
        <v>2500</v>
      </c>
    </row>
    <row r="654" spans="1:14">
      <c r="A654" s="108">
        <v>647</v>
      </c>
      <c r="B654" s="108">
        <f t="shared" si="85"/>
        <v>368</v>
      </c>
      <c r="C654" s="108">
        <f t="shared" si="86"/>
        <v>0</v>
      </c>
      <c r="F654" s="108" t="s">
        <v>2501</v>
      </c>
      <c r="G654" s="108">
        <v>12</v>
      </c>
      <c r="H654" s="108">
        <v>27</v>
      </c>
      <c r="I654" s="108">
        <v>45.7</v>
      </c>
      <c r="J654" s="108">
        <v>13</v>
      </c>
      <c r="K654" s="108">
        <v>0</v>
      </c>
      <c r="L654" s="108">
        <v>31</v>
      </c>
      <c r="M654" s="108" t="s">
        <v>2502</v>
      </c>
      <c r="N654" s="108" t="s">
        <v>2503</v>
      </c>
    </row>
    <row r="655" spans="1:14">
      <c r="A655" s="108">
        <v>648</v>
      </c>
      <c r="B655" s="108">
        <f t="shared" si="85"/>
        <v>368</v>
      </c>
      <c r="C655" s="108">
        <f t="shared" si="86"/>
        <v>0</v>
      </c>
      <c r="F655" s="108" t="s">
        <v>2504</v>
      </c>
      <c r="G655" s="108">
        <v>12</v>
      </c>
      <c r="H655" s="108">
        <v>28</v>
      </c>
      <c r="I655" s="108">
        <v>11.1</v>
      </c>
      <c r="J655" s="108">
        <v>44</v>
      </c>
      <c r="K655" s="108">
        <v>5</v>
      </c>
      <c r="L655" s="108">
        <v>37</v>
      </c>
      <c r="M655" s="108" t="s">
        <v>2505</v>
      </c>
      <c r="N655" s="108" t="s">
        <v>2506</v>
      </c>
    </row>
    <row r="656" spans="1:14">
      <c r="A656" s="108">
        <v>649</v>
      </c>
      <c r="B656" s="108">
        <f t="shared" si="85"/>
        <v>368</v>
      </c>
      <c r="C656" s="108">
        <f t="shared" si="86"/>
        <v>0</v>
      </c>
      <c r="F656" s="108" t="s">
        <v>2507</v>
      </c>
      <c r="G656" s="108">
        <v>12</v>
      </c>
      <c r="H656" s="108">
        <v>30</v>
      </c>
      <c r="I656" s="108">
        <v>31.1</v>
      </c>
      <c r="J656" s="108">
        <v>41</v>
      </c>
      <c r="K656" s="108">
        <v>42</v>
      </c>
      <c r="L656" s="108">
        <v>4</v>
      </c>
      <c r="M656" s="108" t="s">
        <v>2508</v>
      </c>
      <c r="N656" s="108" t="s">
        <v>2509</v>
      </c>
    </row>
    <row r="657" spans="1:14">
      <c r="A657" s="108">
        <v>650</v>
      </c>
      <c r="B657" s="108">
        <f t="shared" si="85"/>
        <v>368</v>
      </c>
      <c r="C657" s="108">
        <f t="shared" si="86"/>
        <v>0</v>
      </c>
      <c r="F657" s="108" t="s">
        <v>2510</v>
      </c>
      <c r="G657" s="108">
        <v>12</v>
      </c>
      <c r="H657" s="108">
        <v>30</v>
      </c>
      <c r="I657" s="108">
        <v>36.4</v>
      </c>
      <c r="J657" s="108">
        <v>41</v>
      </c>
      <c r="K657" s="108">
        <v>38</v>
      </c>
      <c r="L657" s="108">
        <v>38</v>
      </c>
      <c r="M657" s="108" t="s">
        <v>2511</v>
      </c>
      <c r="N657" s="108" t="s">
        <v>2509</v>
      </c>
    </row>
    <row r="658" spans="1:14">
      <c r="A658" s="108">
        <v>651</v>
      </c>
      <c r="B658" s="108">
        <f t="shared" si="85"/>
        <v>368</v>
      </c>
      <c r="C658" s="108">
        <f t="shared" si="86"/>
        <v>0</v>
      </c>
      <c r="F658" s="108" t="s">
        <v>2512</v>
      </c>
      <c r="G658" s="108">
        <v>12</v>
      </c>
      <c r="H658" s="108">
        <v>31</v>
      </c>
      <c r="I658" s="108">
        <v>24</v>
      </c>
      <c r="J658" s="108">
        <v>25</v>
      </c>
      <c r="K658" s="108">
        <v>46</v>
      </c>
      <c r="L658" s="108">
        <v>30</v>
      </c>
      <c r="M658" s="108" t="s">
        <v>2513</v>
      </c>
      <c r="N658" s="108" t="s">
        <v>2155</v>
      </c>
    </row>
    <row r="659" spans="1:14">
      <c r="A659" s="108">
        <v>652</v>
      </c>
      <c r="B659" s="108">
        <f t="shared" si="85"/>
        <v>368</v>
      </c>
      <c r="C659" s="108">
        <f t="shared" si="86"/>
        <v>0</v>
      </c>
      <c r="F659" s="108" t="s">
        <v>2514</v>
      </c>
      <c r="G659" s="108">
        <v>12</v>
      </c>
      <c r="H659" s="108">
        <v>34</v>
      </c>
      <c r="I659" s="108">
        <v>3</v>
      </c>
      <c r="J659" s="108">
        <v>7</v>
      </c>
      <c r="K659" s="108">
        <v>41</v>
      </c>
      <c r="L659" s="108">
        <v>57</v>
      </c>
      <c r="M659" s="108" t="s">
        <v>2515</v>
      </c>
      <c r="N659" s="108" t="s">
        <v>2155</v>
      </c>
    </row>
    <row r="660" spans="1:14">
      <c r="A660" s="108">
        <v>653</v>
      </c>
      <c r="B660" s="108">
        <f t="shared" si="85"/>
        <v>368</v>
      </c>
      <c r="C660" s="108">
        <f t="shared" si="86"/>
        <v>0</v>
      </c>
      <c r="F660" s="108" t="s">
        <v>2516</v>
      </c>
      <c r="G660" s="108">
        <v>12</v>
      </c>
      <c r="H660" s="108">
        <v>35</v>
      </c>
      <c r="I660" s="108">
        <v>57.7</v>
      </c>
      <c r="J660" s="108">
        <v>27</v>
      </c>
      <c r="K660" s="108">
        <v>57</v>
      </c>
      <c r="L660" s="108">
        <v>35</v>
      </c>
      <c r="M660" s="108" t="s">
        <v>2517</v>
      </c>
      <c r="N660" s="108" t="s">
        <v>2155</v>
      </c>
    </row>
    <row r="661" spans="1:14">
      <c r="A661" s="108">
        <v>654</v>
      </c>
      <c r="B661" s="108">
        <f t="shared" si="85"/>
        <v>368</v>
      </c>
      <c r="C661" s="108">
        <f t="shared" si="86"/>
        <v>0</v>
      </c>
      <c r="F661" s="108" t="s">
        <v>2518</v>
      </c>
      <c r="G661" s="108">
        <v>12</v>
      </c>
      <c r="H661" s="108">
        <v>36</v>
      </c>
      <c r="I661" s="108">
        <v>20.8</v>
      </c>
      <c r="J661" s="108">
        <v>25</v>
      </c>
      <c r="K661" s="108">
        <v>59</v>
      </c>
      <c r="L661" s="108">
        <v>15</v>
      </c>
      <c r="M661" s="108" t="s">
        <v>2519</v>
      </c>
      <c r="N661" s="108" t="s">
        <v>2520</v>
      </c>
    </row>
    <row r="662" spans="1:14">
      <c r="A662" s="108">
        <v>655</v>
      </c>
      <c r="B662" s="108">
        <f t="shared" si="85"/>
        <v>368</v>
      </c>
      <c r="C662" s="108">
        <f t="shared" si="86"/>
        <v>0</v>
      </c>
      <c r="F662" s="108" t="s">
        <v>2521</v>
      </c>
      <c r="G662" s="108">
        <v>12</v>
      </c>
      <c r="H662" s="108">
        <v>37</v>
      </c>
      <c r="I662" s="108">
        <v>25</v>
      </c>
      <c r="J662" s="108">
        <v>74</v>
      </c>
      <c r="K662" s="108">
        <v>11</v>
      </c>
      <c r="L662" s="108">
        <v>31</v>
      </c>
      <c r="M662" s="108" t="s">
        <v>2522</v>
      </c>
      <c r="N662" s="108" t="s">
        <v>2523</v>
      </c>
    </row>
    <row r="663" spans="1:14">
      <c r="A663" s="108">
        <v>656</v>
      </c>
      <c r="B663" s="108">
        <f t="shared" si="85"/>
        <v>368</v>
      </c>
      <c r="C663" s="108">
        <f t="shared" si="86"/>
        <v>0</v>
      </c>
      <c r="F663" s="108" t="s">
        <v>2524</v>
      </c>
      <c r="G663" s="108">
        <v>12</v>
      </c>
      <c r="H663" s="108">
        <v>39</v>
      </c>
      <c r="I663" s="108">
        <v>59.4</v>
      </c>
      <c r="J663" s="108">
        <v>61</v>
      </c>
      <c r="K663" s="108">
        <v>36</v>
      </c>
      <c r="L663" s="108">
        <v>33</v>
      </c>
      <c r="M663" s="108" t="s">
        <v>2525</v>
      </c>
      <c r="N663" s="108" t="s">
        <v>2526</v>
      </c>
    </row>
    <row r="664" spans="1:14">
      <c r="A664" s="108">
        <v>657</v>
      </c>
      <c r="B664" s="108">
        <f t="shared" si="85"/>
        <v>368</v>
      </c>
      <c r="C664" s="108">
        <f t="shared" si="86"/>
        <v>0</v>
      </c>
      <c r="F664" s="108" t="s">
        <v>2527</v>
      </c>
      <c r="G664" s="108">
        <v>12</v>
      </c>
      <c r="H664" s="108">
        <v>41</v>
      </c>
      <c r="I664" s="108">
        <v>32.799999999999997</v>
      </c>
      <c r="J664" s="108">
        <v>41</v>
      </c>
      <c r="K664" s="108">
        <v>9</v>
      </c>
      <c r="L664" s="108">
        <v>3</v>
      </c>
      <c r="M664" s="108" t="s">
        <v>2528</v>
      </c>
      <c r="N664" s="108" t="s">
        <v>2155</v>
      </c>
    </row>
    <row r="665" spans="1:14">
      <c r="A665" s="108">
        <v>658</v>
      </c>
      <c r="B665" s="108">
        <f t="shared" si="85"/>
        <v>368</v>
      </c>
      <c r="C665" s="108">
        <f t="shared" si="86"/>
        <v>0</v>
      </c>
      <c r="F665" s="108" t="s">
        <v>2529</v>
      </c>
      <c r="G665" s="108">
        <v>12</v>
      </c>
      <c r="H665" s="108">
        <v>42</v>
      </c>
      <c r="I665" s="108">
        <v>8</v>
      </c>
      <c r="J665" s="108">
        <v>32</v>
      </c>
      <c r="K665" s="108">
        <v>32</v>
      </c>
      <c r="L665" s="108">
        <v>29</v>
      </c>
      <c r="M665" s="108" t="s">
        <v>2530</v>
      </c>
      <c r="N665" s="108" t="s">
        <v>2531</v>
      </c>
    </row>
    <row r="666" spans="1:14">
      <c r="A666" s="108">
        <v>659</v>
      </c>
      <c r="B666" s="108">
        <f t="shared" si="85"/>
        <v>368</v>
      </c>
      <c r="C666" s="108">
        <f t="shared" si="86"/>
        <v>0</v>
      </c>
      <c r="F666" s="108" t="s">
        <v>2532</v>
      </c>
      <c r="G666" s="108">
        <v>12</v>
      </c>
      <c r="H666" s="108">
        <v>42</v>
      </c>
      <c r="I666" s="108">
        <v>49.9</v>
      </c>
      <c r="J666" s="108">
        <v>2</v>
      </c>
      <c r="K666" s="108">
        <v>41</v>
      </c>
      <c r="L666" s="108">
        <v>16</v>
      </c>
      <c r="M666" s="108" t="s">
        <v>2533</v>
      </c>
      <c r="N666" s="108" t="s">
        <v>2534</v>
      </c>
    </row>
    <row r="667" spans="1:14">
      <c r="A667" s="108">
        <v>660</v>
      </c>
      <c r="B667" s="108">
        <f t="shared" si="85"/>
        <v>368</v>
      </c>
      <c r="C667" s="108">
        <f t="shared" si="86"/>
        <v>0</v>
      </c>
      <c r="F667" s="108" t="s">
        <v>2535</v>
      </c>
      <c r="G667" s="108">
        <v>12</v>
      </c>
      <c r="H667" s="108">
        <v>43</v>
      </c>
      <c r="I667" s="108">
        <v>57.6</v>
      </c>
      <c r="J667" s="108">
        <v>32</v>
      </c>
      <c r="K667" s="108">
        <v>10</v>
      </c>
      <c r="L667" s="108">
        <v>13</v>
      </c>
      <c r="M667" s="108" t="s">
        <v>2536</v>
      </c>
      <c r="N667" s="108" t="s">
        <v>2435</v>
      </c>
    </row>
    <row r="668" spans="1:14">
      <c r="A668" s="108">
        <v>661</v>
      </c>
      <c r="B668" s="108">
        <f t="shared" si="85"/>
        <v>368</v>
      </c>
      <c r="C668" s="108">
        <f t="shared" si="86"/>
        <v>0</v>
      </c>
      <c r="F668" s="108" t="s">
        <v>2537</v>
      </c>
      <c r="G668" s="108">
        <v>12</v>
      </c>
      <c r="H668" s="108">
        <v>48</v>
      </c>
      <c r="I668" s="108">
        <v>35.9</v>
      </c>
      <c r="J668" s="108">
        <v>-5</v>
      </c>
      <c r="K668" s="108">
        <v>-48</v>
      </c>
      <c r="L668" s="108">
        <v>-3</v>
      </c>
      <c r="M668" s="108" t="s">
        <v>2538</v>
      </c>
      <c r="N668" s="108" t="s">
        <v>2539</v>
      </c>
    </row>
    <row r="669" spans="1:14">
      <c r="A669" s="108">
        <v>662</v>
      </c>
      <c r="B669" s="108">
        <f t="shared" si="85"/>
        <v>368</v>
      </c>
      <c r="C669" s="108">
        <f t="shared" si="86"/>
        <v>0</v>
      </c>
      <c r="F669" s="108" t="s">
        <v>2540</v>
      </c>
      <c r="G669" s="108">
        <v>12</v>
      </c>
      <c r="H669" s="108">
        <v>49</v>
      </c>
      <c r="I669" s="108">
        <v>2.2000000000000002</v>
      </c>
      <c r="J669" s="108">
        <v>-8</v>
      </c>
      <c r="K669" s="108">
        <v>-39</v>
      </c>
      <c r="L669" s="108">
        <v>-51</v>
      </c>
      <c r="M669" s="108" t="s">
        <v>2541</v>
      </c>
      <c r="N669" s="108" t="s">
        <v>2284</v>
      </c>
    </row>
    <row r="670" spans="1:14">
      <c r="A670" s="108">
        <v>663</v>
      </c>
      <c r="B670" s="108">
        <f t="shared" si="85"/>
        <v>368</v>
      </c>
      <c r="C670" s="108">
        <f t="shared" si="86"/>
        <v>0</v>
      </c>
      <c r="F670" s="108" t="s">
        <v>2542</v>
      </c>
      <c r="G670" s="108">
        <v>12</v>
      </c>
      <c r="H670" s="108">
        <v>50</v>
      </c>
      <c r="I670" s="108">
        <v>26.6</v>
      </c>
      <c r="J670" s="108">
        <v>25</v>
      </c>
      <c r="K670" s="108">
        <v>30</v>
      </c>
      <c r="L670" s="108">
        <v>3</v>
      </c>
      <c r="M670" s="108" t="s">
        <v>2543</v>
      </c>
      <c r="N670" s="108" t="s">
        <v>2539</v>
      </c>
    </row>
    <row r="671" spans="1:14">
      <c r="A671" s="108">
        <v>664</v>
      </c>
      <c r="B671" s="108">
        <f t="shared" si="85"/>
        <v>368</v>
      </c>
      <c r="C671" s="108">
        <f t="shared" si="86"/>
        <v>0</v>
      </c>
      <c r="F671" s="108" t="s">
        <v>2544</v>
      </c>
      <c r="G671" s="108">
        <v>12</v>
      </c>
      <c r="H671" s="108">
        <v>52</v>
      </c>
      <c r="I671" s="108">
        <v>22.1</v>
      </c>
      <c r="J671" s="108">
        <v>-11</v>
      </c>
      <c r="K671" s="108">
        <v>-59</v>
      </c>
      <c r="L671" s="108">
        <v>0</v>
      </c>
      <c r="M671" s="108" t="s">
        <v>2545</v>
      </c>
      <c r="N671" s="108" t="s">
        <v>2531</v>
      </c>
    </row>
    <row r="672" spans="1:14">
      <c r="A672" s="108">
        <v>665</v>
      </c>
      <c r="B672" s="108">
        <f t="shared" si="85"/>
        <v>368</v>
      </c>
      <c r="C672" s="108">
        <f t="shared" si="86"/>
        <v>0</v>
      </c>
      <c r="F672" s="108" t="s">
        <v>2546</v>
      </c>
      <c r="G672" s="108">
        <v>12</v>
      </c>
      <c r="H672" s="108">
        <v>52</v>
      </c>
      <c r="I672" s="108">
        <v>56</v>
      </c>
      <c r="J672" s="108">
        <v>11</v>
      </c>
      <c r="K672" s="108">
        <v>13</v>
      </c>
      <c r="L672" s="108">
        <v>51</v>
      </c>
      <c r="M672" s="108" t="s">
        <v>2547</v>
      </c>
      <c r="N672" s="108" t="s">
        <v>2548</v>
      </c>
    </row>
    <row r="673" spans="1:14">
      <c r="A673" s="108">
        <v>666</v>
      </c>
      <c r="B673" s="108">
        <f t="shared" si="85"/>
        <v>368</v>
      </c>
      <c r="C673" s="108">
        <f t="shared" si="86"/>
        <v>0</v>
      </c>
      <c r="F673" s="108" t="s">
        <v>2549</v>
      </c>
      <c r="G673" s="108">
        <v>13</v>
      </c>
      <c r="H673" s="108">
        <v>10</v>
      </c>
      <c r="I673" s="108">
        <v>56.3</v>
      </c>
      <c r="J673" s="108">
        <v>37</v>
      </c>
      <c r="K673" s="108">
        <v>3</v>
      </c>
      <c r="L673" s="108">
        <v>32</v>
      </c>
      <c r="M673" s="108" t="s">
        <v>2550</v>
      </c>
      <c r="N673" s="108" t="s">
        <v>2355</v>
      </c>
    </row>
    <row r="674" spans="1:14">
      <c r="A674" s="108">
        <v>667</v>
      </c>
      <c r="B674" s="108">
        <f t="shared" si="85"/>
        <v>368</v>
      </c>
      <c r="C674" s="108">
        <f t="shared" si="86"/>
        <v>0</v>
      </c>
      <c r="F674" s="108" t="s">
        <v>2551</v>
      </c>
      <c r="G674" s="108">
        <v>13</v>
      </c>
      <c r="H674" s="108">
        <v>13</v>
      </c>
      <c r="I674" s="108">
        <v>27.5</v>
      </c>
      <c r="J674" s="108">
        <v>36</v>
      </c>
      <c r="K674" s="108">
        <v>35</v>
      </c>
      <c r="L674" s="108">
        <v>37</v>
      </c>
      <c r="M674" s="108" t="s">
        <v>2552</v>
      </c>
      <c r="N674" s="108" t="s">
        <v>2539</v>
      </c>
    </row>
    <row r="675" spans="1:14">
      <c r="A675" s="108">
        <v>668</v>
      </c>
      <c r="B675" s="108">
        <f t="shared" si="85"/>
        <v>368</v>
      </c>
      <c r="C675" s="108">
        <f t="shared" si="86"/>
        <v>0</v>
      </c>
      <c r="F675" s="108" t="s">
        <v>2553</v>
      </c>
      <c r="G675" s="108">
        <v>13</v>
      </c>
      <c r="H675" s="108">
        <v>16</v>
      </c>
      <c r="I675" s="108">
        <v>27.1</v>
      </c>
      <c r="J675" s="108">
        <v>17</v>
      </c>
      <c r="K675" s="108">
        <v>42</v>
      </c>
      <c r="L675" s="108">
        <v>1</v>
      </c>
      <c r="M675" s="108" t="s">
        <v>2554</v>
      </c>
      <c r="N675" s="108" t="s">
        <v>2555</v>
      </c>
    </row>
    <row r="676" spans="1:14">
      <c r="A676" s="108">
        <v>669</v>
      </c>
      <c r="B676" s="108">
        <f t="shared" si="85"/>
        <v>368</v>
      </c>
      <c r="C676" s="108">
        <f t="shared" si="86"/>
        <v>0</v>
      </c>
      <c r="F676" s="108" t="s">
        <v>2556</v>
      </c>
      <c r="G676" s="108">
        <v>13</v>
      </c>
      <c r="H676" s="108">
        <v>21</v>
      </c>
      <c r="I676" s="108">
        <v>57.7</v>
      </c>
      <c r="J676" s="108">
        <v>-36</v>
      </c>
      <c r="K676" s="108">
        <v>-37</v>
      </c>
      <c r="L676" s="108">
        <v>-49</v>
      </c>
      <c r="M676" s="108" t="s">
        <v>2557</v>
      </c>
      <c r="N676" s="108" t="s">
        <v>2558</v>
      </c>
    </row>
    <row r="677" spans="1:14">
      <c r="A677" s="108">
        <v>670</v>
      </c>
      <c r="B677" s="108">
        <f t="shared" si="85"/>
        <v>368</v>
      </c>
      <c r="C677" s="108">
        <f t="shared" si="86"/>
        <v>0</v>
      </c>
      <c r="F677" s="108" t="s">
        <v>2559</v>
      </c>
      <c r="G677" s="108">
        <v>13</v>
      </c>
      <c r="H677" s="108">
        <v>37</v>
      </c>
      <c r="I677" s="108">
        <v>32.1</v>
      </c>
      <c r="J677" s="108">
        <v>8</v>
      </c>
      <c r="K677" s="108">
        <v>53</v>
      </c>
      <c r="L677" s="108">
        <v>6</v>
      </c>
      <c r="M677" s="108" t="s">
        <v>2560</v>
      </c>
      <c r="N677" s="108" t="s">
        <v>2561</v>
      </c>
    </row>
    <row r="678" spans="1:14">
      <c r="A678" s="108">
        <v>671</v>
      </c>
      <c r="B678" s="108">
        <f t="shared" si="85"/>
        <v>368</v>
      </c>
      <c r="C678" s="108">
        <f t="shared" si="86"/>
        <v>0</v>
      </c>
      <c r="F678" s="108" t="s">
        <v>2562</v>
      </c>
      <c r="G678" s="108">
        <v>13</v>
      </c>
      <c r="H678" s="108">
        <v>39</v>
      </c>
      <c r="I678" s="108">
        <v>56</v>
      </c>
      <c r="J678" s="108">
        <v>-31</v>
      </c>
      <c r="K678" s="108">
        <v>-38</v>
      </c>
      <c r="L678" s="108">
        <v>-24</v>
      </c>
      <c r="M678" s="108" t="s">
        <v>2563</v>
      </c>
      <c r="N678" s="108" t="s">
        <v>2564</v>
      </c>
    </row>
    <row r="679" spans="1:14">
      <c r="A679" s="108">
        <v>672</v>
      </c>
      <c r="B679" s="108">
        <f t="shared" si="85"/>
        <v>368</v>
      </c>
      <c r="C679" s="108">
        <f t="shared" si="86"/>
        <v>0</v>
      </c>
      <c r="F679" s="108" t="s">
        <v>2565</v>
      </c>
      <c r="G679" s="108">
        <v>13</v>
      </c>
      <c r="H679" s="108">
        <v>53</v>
      </c>
      <c r="I679" s="108">
        <v>21.6</v>
      </c>
      <c r="J679" s="108">
        <v>40</v>
      </c>
      <c r="K679" s="108">
        <v>21</v>
      </c>
      <c r="L679" s="108">
        <v>50</v>
      </c>
      <c r="M679" s="108" t="s">
        <v>2566</v>
      </c>
      <c r="N679" s="108" t="s">
        <v>2567</v>
      </c>
    </row>
    <row r="680" spans="1:14">
      <c r="A680" s="108">
        <v>673</v>
      </c>
      <c r="B680" s="108">
        <f t="shared" si="85"/>
        <v>368</v>
      </c>
      <c r="C680" s="108">
        <f t="shared" si="86"/>
        <v>0</v>
      </c>
      <c r="F680" s="108" t="s">
        <v>2568</v>
      </c>
      <c r="G680" s="108">
        <v>13</v>
      </c>
      <c r="H680" s="108">
        <v>53</v>
      </c>
      <c r="I680" s="108">
        <v>26.7</v>
      </c>
      <c r="J680" s="108">
        <v>40</v>
      </c>
      <c r="K680" s="108">
        <v>16</v>
      </c>
      <c r="L680" s="108">
        <v>59</v>
      </c>
      <c r="M680" s="108" t="s">
        <v>2569</v>
      </c>
      <c r="N680" s="108" t="s">
        <v>2570</v>
      </c>
    </row>
    <row r="681" spans="1:14">
      <c r="A681" s="108">
        <v>674</v>
      </c>
      <c r="B681" s="108">
        <f t="shared" si="85"/>
        <v>368</v>
      </c>
      <c r="C681" s="108">
        <f t="shared" si="86"/>
        <v>0</v>
      </c>
      <c r="F681" s="108" t="s">
        <v>2571</v>
      </c>
      <c r="G681" s="108">
        <v>13</v>
      </c>
      <c r="H681" s="108">
        <v>53</v>
      </c>
      <c r="I681" s="108">
        <v>26.7</v>
      </c>
      <c r="J681" s="108">
        <v>40</v>
      </c>
      <c r="K681" s="108">
        <v>18</v>
      </c>
      <c r="L681" s="108">
        <v>10</v>
      </c>
      <c r="M681" s="108" t="s">
        <v>2569</v>
      </c>
      <c r="N681" s="108" t="s">
        <v>2570</v>
      </c>
    </row>
    <row r="682" spans="1:14">
      <c r="A682" s="108">
        <v>675</v>
      </c>
      <c r="B682" s="108">
        <f t="shared" si="85"/>
        <v>368</v>
      </c>
      <c r="C682" s="108">
        <f t="shared" si="86"/>
        <v>0</v>
      </c>
      <c r="F682" s="108" t="s">
        <v>2572</v>
      </c>
      <c r="G682" s="108">
        <v>13</v>
      </c>
      <c r="H682" s="108">
        <v>56</v>
      </c>
      <c r="I682" s="108">
        <v>7.2</v>
      </c>
      <c r="J682" s="108">
        <v>5</v>
      </c>
      <c r="K682" s="108">
        <v>15</v>
      </c>
      <c r="L682" s="108">
        <v>14</v>
      </c>
      <c r="M682" s="108" t="s">
        <v>2573</v>
      </c>
      <c r="N682" s="108" t="s">
        <v>2574</v>
      </c>
    </row>
    <row r="683" spans="1:14">
      <c r="A683" s="108">
        <v>676</v>
      </c>
      <c r="B683" s="108">
        <f t="shared" si="85"/>
        <v>368</v>
      </c>
      <c r="C683" s="108">
        <f t="shared" si="86"/>
        <v>0</v>
      </c>
      <c r="F683" s="108" t="s">
        <v>2575</v>
      </c>
      <c r="G683" s="108">
        <v>13</v>
      </c>
      <c r="H683" s="108">
        <v>56</v>
      </c>
      <c r="I683" s="108">
        <v>12</v>
      </c>
      <c r="J683" s="108">
        <v>5</v>
      </c>
      <c r="K683" s="108">
        <v>0</v>
      </c>
      <c r="L683" s="108">
        <v>52</v>
      </c>
      <c r="M683" s="108" t="s">
        <v>2576</v>
      </c>
      <c r="N683" s="108" t="s">
        <v>2574</v>
      </c>
    </row>
    <row r="684" spans="1:14">
      <c r="A684" s="108">
        <v>677</v>
      </c>
      <c r="B684" s="108">
        <f t="shared" si="85"/>
        <v>368</v>
      </c>
      <c r="C684" s="108">
        <f t="shared" si="86"/>
        <v>0</v>
      </c>
      <c r="F684" s="108" t="s">
        <v>2577</v>
      </c>
      <c r="G684" s="108">
        <v>13</v>
      </c>
      <c r="H684" s="108">
        <v>55</v>
      </c>
      <c r="I684" s="108">
        <v>40</v>
      </c>
      <c r="J684" s="108">
        <v>40</v>
      </c>
      <c r="K684" s="108">
        <v>27</v>
      </c>
      <c r="L684" s="108">
        <v>42</v>
      </c>
      <c r="M684" s="108" t="s">
        <v>2578</v>
      </c>
      <c r="N684" s="108" t="s">
        <v>2579</v>
      </c>
    </row>
    <row r="685" spans="1:14">
      <c r="A685" s="108">
        <v>678</v>
      </c>
      <c r="B685" s="108">
        <f t="shared" si="85"/>
        <v>368</v>
      </c>
      <c r="C685" s="108">
        <f t="shared" si="86"/>
        <v>0</v>
      </c>
      <c r="F685" s="108" t="s">
        <v>2580</v>
      </c>
      <c r="G685" s="108">
        <v>14</v>
      </c>
      <c r="H685" s="108">
        <v>5</v>
      </c>
      <c r="I685" s="108">
        <v>27.3</v>
      </c>
      <c r="J685" s="108">
        <v>28</v>
      </c>
      <c r="K685" s="108">
        <v>32</v>
      </c>
      <c r="L685" s="108">
        <v>4</v>
      </c>
      <c r="M685" s="108" t="s">
        <v>2581</v>
      </c>
      <c r="N685" s="108" t="s">
        <v>2284</v>
      </c>
    </row>
    <row r="686" spans="1:14">
      <c r="A686" s="108">
        <v>679</v>
      </c>
      <c r="B686" s="108">
        <f t="shared" si="85"/>
        <v>368</v>
      </c>
      <c r="C686" s="108">
        <f t="shared" si="86"/>
        <v>0</v>
      </c>
      <c r="F686" s="108" t="s">
        <v>2582</v>
      </c>
      <c r="G686" s="108">
        <v>14</v>
      </c>
      <c r="H686" s="108">
        <v>5</v>
      </c>
      <c r="I686" s="108">
        <v>1.6</v>
      </c>
      <c r="J686" s="108">
        <v>53</v>
      </c>
      <c r="K686" s="108">
        <v>39</v>
      </c>
      <c r="L686" s="108">
        <v>44</v>
      </c>
      <c r="M686" s="108" t="s">
        <v>2583</v>
      </c>
      <c r="N686" s="108" t="s">
        <v>2584</v>
      </c>
    </row>
    <row r="687" spans="1:14">
      <c r="A687" s="108">
        <v>680</v>
      </c>
      <c r="B687" s="108">
        <f t="shared" si="85"/>
        <v>368</v>
      </c>
      <c r="C687" s="108">
        <f t="shared" si="86"/>
        <v>0</v>
      </c>
      <c r="F687" s="108" t="s">
        <v>2585</v>
      </c>
      <c r="G687" s="108">
        <v>14</v>
      </c>
      <c r="H687" s="108">
        <v>20</v>
      </c>
      <c r="I687" s="108">
        <v>19.899999999999999</v>
      </c>
      <c r="J687" s="108">
        <v>3</v>
      </c>
      <c r="K687" s="108">
        <v>56</v>
      </c>
      <c r="L687" s="108">
        <v>1</v>
      </c>
      <c r="M687" s="108" t="s">
        <v>2586</v>
      </c>
      <c r="N687" s="108" t="s">
        <v>2587</v>
      </c>
    </row>
    <row r="688" spans="1:14">
      <c r="A688" s="108">
        <v>681</v>
      </c>
      <c r="B688" s="108">
        <f t="shared" si="85"/>
        <v>368</v>
      </c>
      <c r="C688" s="108">
        <f t="shared" si="86"/>
        <v>0</v>
      </c>
      <c r="F688" s="108" t="s">
        <v>2588</v>
      </c>
      <c r="G688" s="108">
        <v>14</v>
      </c>
      <c r="H688" s="108">
        <v>29</v>
      </c>
      <c r="I688" s="108">
        <v>37.299999999999997</v>
      </c>
      <c r="J688" s="108">
        <v>-5</v>
      </c>
      <c r="K688" s="108">
        <v>-58</v>
      </c>
      <c r="L688" s="108">
        <v>-35</v>
      </c>
      <c r="M688" s="108" t="s">
        <v>2589</v>
      </c>
      <c r="N688" s="108" t="s">
        <v>2590</v>
      </c>
    </row>
    <row r="689" spans="1:14">
      <c r="A689" s="108">
        <v>682</v>
      </c>
      <c r="B689" s="108">
        <f t="shared" si="85"/>
        <v>368</v>
      </c>
      <c r="C689" s="108">
        <f t="shared" si="86"/>
        <v>0</v>
      </c>
      <c r="F689" s="108" t="s">
        <v>2591</v>
      </c>
      <c r="G689" s="108">
        <v>14</v>
      </c>
      <c r="H689" s="108">
        <v>39</v>
      </c>
      <c r="I689" s="108">
        <v>36.5</v>
      </c>
      <c r="J689" s="108">
        <v>-26</v>
      </c>
      <c r="K689" s="108">
        <v>-32</v>
      </c>
      <c r="L689" s="108">
        <v>-18</v>
      </c>
      <c r="M689" s="108" t="s">
        <v>2592</v>
      </c>
      <c r="N689" s="108" t="s">
        <v>2593</v>
      </c>
    </row>
    <row r="690" spans="1:14">
      <c r="A690" s="108">
        <v>683</v>
      </c>
      <c r="B690" s="108">
        <f t="shared" si="85"/>
        <v>368</v>
      </c>
      <c r="C690" s="108">
        <f t="shared" si="86"/>
        <v>0</v>
      </c>
      <c r="F690" s="108" t="s">
        <v>2594</v>
      </c>
      <c r="G690" s="108">
        <v>14</v>
      </c>
      <c r="H690" s="108">
        <v>44</v>
      </c>
      <c r="I690" s="108">
        <v>56</v>
      </c>
      <c r="J690" s="108">
        <v>1</v>
      </c>
      <c r="K690" s="108">
        <v>57</v>
      </c>
      <c r="L690" s="108">
        <v>17</v>
      </c>
      <c r="M690" s="108" t="s">
        <v>2595</v>
      </c>
      <c r="N690" s="108" t="s">
        <v>2596</v>
      </c>
    </row>
    <row r="691" spans="1:14">
      <c r="A691" s="108">
        <v>684</v>
      </c>
      <c r="B691" s="108">
        <f t="shared" si="85"/>
        <v>368</v>
      </c>
      <c r="C691" s="108">
        <f t="shared" si="86"/>
        <v>0</v>
      </c>
      <c r="F691" s="108" t="s">
        <v>2597</v>
      </c>
      <c r="G691" s="108">
        <v>15</v>
      </c>
      <c r="H691" s="108">
        <v>1</v>
      </c>
      <c r="I691" s="108">
        <v>11.3</v>
      </c>
      <c r="J691" s="108">
        <v>1</v>
      </c>
      <c r="K691" s="108">
        <v>42</v>
      </c>
      <c r="L691" s="108">
        <v>8</v>
      </c>
      <c r="M691" s="108" t="s">
        <v>2598</v>
      </c>
      <c r="N691" s="108" t="s">
        <v>2599</v>
      </c>
    </row>
    <row r="692" spans="1:14">
      <c r="A692" s="108">
        <v>685</v>
      </c>
      <c r="B692" s="108">
        <f t="shared" si="85"/>
        <v>368</v>
      </c>
      <c r="C692" s="108">
        <f t="shared" si="86"/>
        <v>0</v>
      </c>
      <c r="F692" s="108" t="s">
        <v>2600</v>
      </c>
      <c r="G692" s="108">
        <v>15</v>
      </c>
      <c r="H692" s="108">
        <v>3</v>
      </c>
      <c r="I692" s="108">
        <v>58.6</v>
      </c>
      <c r="J692" s="108">
        <v>-33</v>
      </c>
      <c r="K692" s="108">
        <v>-4</v>
      </c>
      <c r="L692" s="108">
        <v>-7</v>
      </c>
      <c r="M692" s="108" t="s">
        <v>2601</v>
      </c>
      <c r="N692" s="108" t="s">
        <v>2602</v>
      </c>
    </row>
    <row r="693" spans="1:14">
      <c r="A693" s="108">
        <v>686</v>
      </c>
      <c r="B693" s="108">
        <f t="shared" si="85"/>
        <v>368</v>
      </c>
      <c r="C693" s="108">
        <f t="shared" si="86"/>
        <v>0</v>
      </c>
      <c r="F693" s="108" t="s">
        <v>2603</v>
      </c>
      <c r="G693" s="108">
        <v>15</v>
      </c>
      <c r="H693" s="108">
        <v>6</v>
      </c>
      <c r="I693" s="108">
        <v>29.2</v>
      </c>
      <c r="J693" s="108">
        <v>1</v>
      </c>
      <c r="K693" s="108">
        <v>36</v>
      </c>
      <c r="L693" s="108">
        <v>20</v>
      </c>
      <c r="M693" s="108" t="s">
        <v>2604</v>
      </c>
      <c r="N693" s="108" t="s">
        <v>2284</v>
      </c>
    </row>
    <row r="694" spans="1:14">
      <c r="A694" s="108">
        <v>687</v>
      </c>
      <c r="B694" s="108">
        <f t="shared" si="85"/>
        <v>368</v>
      </c>
      <c r="C694" s="108">
        <f t="shared" si="86"/>
        <v>0</v>
      </c>
      <c r="F694" s="108" t="s">
        <v>2605</v>
      </c>
      <c r="G694" s="108">
        <v>15</v>
      </c>
      <c r="H694" s="108">
        <v>7</v>
      </c>
      <c r="I694" s="108">
        <v>7.7</v>
      </c>
      <c r="J694" s="108">
        <v>1</v>
      </c>
      <c r="K694" s="108">
        <v>32</v>
      </c>
      <c r="L694" s="108">
        <v>39</v>
      </c>
      <c r="M694" s="108" t="s">
        <v>2606</v>
      </c>
      <c r="N694" s="108" t="s">
        <v>2284</v>
      </c>
    </row>
    <row r="695" spans="1:14">
      <c r="A695" s="108">
        <v>688</v>
      </c>
      <c r="B695" s="108">
        <f t="shared" si="85"/>
        <v>368</v>
      </c>
      <c r="C695" s="108">
        <f t="shared" si="86"/>
        <v>0</v>
      </c>
      <c r="F695" s="108" t="s">
        <v>2607</v>
      </c>
      <c r="G695" s="108">
        <v>15</v>
      </c>
      <c r="H695" s="108">
        <v>6</v>
      </c>
      <c r="I695" s="108">
        <v>29.6</v>
      </c>
      <c r="J695" s="108">
        <v>55</v>
      </c>
      <c r="K695" s="108">
        <v>45</v>
      </c>
      <c r="L695" s="108">
        <v>48</v>
      </c>
      <c r="M695" s="108" t="s">
        <v>2608</v>
      </c>
      <c r="N695" s="108" t="s">
        <v>2609</v>
      </c>
    </row>
    <row r="696" spans="1:14">
      <c r="A696" s="108">
        <v>689</v>
      </c>
      <c r="B696" s="108">
        <f t="shared" si="85"/>
        <v>368</v>
      </c>
      <c r="C696" s="108">
        <f t="shared" si="86"/>
        <v>0</v>
      </c>
      <c r="F696" s="108" t="s">
        <v>2610</v>
      </c>
      <c r="G696" s="108">
        <v>15</v>
      </c>
      <c r="H696" s="108">
        <v>17</v>
      </c>
      <c r="I696" s="108">
        <v>24.4</v>
      </c>
      <c r="J696" s="108">
        <v>-21</v>
      </c>
      <c r="K696" s="108">
        <v>0</v>
      </c>
      <c r="L696" s="108">
        <v>-36</v>
      </c>
      <c r="M696" s="108" t="s">
        <v>2611</v>
      </c>
      <c r="N696" s="108" t="s">
        <v>2612</v>
      </c>
    </row>
    <row r="697" spans="1:14">
      <c r="A697" s="108">
        <v>690</v>
      </c>
      <c r="B697" s="108">
        <f t="shared" si="85"/>
        <v>368</v>
      </c>
      <c r="C697" s="108">
        <f t="shared" si="86"/>
        <v>0</v>
      </c>
      <c r="F697" s="108" t="s">
        <v>2613</v>
      </c>
      <c r="G697" s="108">
        <v>15</v>
      </c>
      <c r="H697" s="108">
        <v>15</v>
      </c>
      <c r="I697" s="108">
        <v>53.7</v>
      </c>
      <c r="J697" s="108">
        <v>56</v>
      </c>
      <c r="K697" s="108">
        <v>19</v>
      </c>
      <c r="L697" s="108">
        <v>44</v>
      </c>
      <c r="M697" s="108" t="s">
        <v>2614</v>
      </c>
      <c r="N697" s="108" t="s">
        <v>2307</v>
      </c>
    </row>
    <row r="698" spans="1:14">
      <c r="A698" s="108">
        <v>691</v>
      </c>
      <c r="B698" s="108">
        <f t="shared" si="85"/>
        <v>368</v>
      </c>
      <c r="C698" s="108">
        <f t="shared" si="86"/>
        <v>0</v>
      </c>
      <c r="F698" s="108" t="s">
        <v>2615</v>
      </c>
      <c r="G698" s="108">
        <v>15</v>
      </c>
      <c r="H698" s="108">
        <v>38</v>
      </c>
      <c r="I698" s="108">
        <v>39.799999999999997</v>
      </c>
      <c r="J698" s="108">
        <v>59</v>
      </c>
      <c r="K698" s="108">
        <v>21</v>
      </c>
      <c r="L698" s="108">
        <v>21</v>
      </c>
      <c r="M698" s="108" t="s">
        <v>2616</v>
      </c>
      <c r="N698" s="108" t="s">
        <v>2284</v>
      </c>
    </row>
    <row r="699" spans="1:14">
      <c r="A699" s="108">
        <v>692</v>
      </c>
      <c r="B699" s="108">
        <f t="shared" si="85"/>
        <v>368</v>
      </c>
      <c r="C699" s="108">
        <f t="shared" si="86"/>
        <v>0</v>
      </c>
      <c r="F699" s="108" t="s">
        <v>2617</v>
      </c>
      <c r="G699" s="108">
        <v>15</v>
      </c>
      <c r="H699" s="108">
        <v>39</v>
      </c>
      <c r="I699" s="108">
        <v>37.1</v>
      </c>
      <c r="J699" s="108">
        <v>59</v>
      </c>
      <c r="K699" s="108">
        <v>19</v>
      </c>
      <c r="L699" s="108">
        <v>55</v>
      </c>
      <c r="M699" s="108" t="s">
        <v>2618</v>
      </c>
      <c r="N699" s="108" t="s">
        <v>2619</v>
      </c>
    </row>
    <row r="700" spans="1:14">
      <c r="A700" s="108">
        <v>693</v>
      </c>
      <c r="B700" s="108">
        <f t="shared" si="85"/>
        <v>368</v>
      </c>
      <c r="C700" s="108">
        <f t="shared" si="86"/>
        <v>0</v>
      </c>
      <c r="F700" s="108" t="s">
        <v>2620</v>
      </c>
      <c r="G700" s="108">
        <v>16</v>
      </c>
      <c r="H700" s="108">
        <v>22</v>
      </c>
      <c r="I700" s="108">
        <v>21</v>
      </c>
      <c r="J700" s="108">
        <v>19</v>
      </c>
      <c r="K700" s="108">
        <v>49</v>
      </c>
      <c r="L700" s="108">
        <v>36</v>
      </c>
      <c r="M700" s="108" t="s">
        <v>2621</v>
      </c>
      <c r="N700" s="108" t="s">
        <v>2622</v>
      </c>
    </row>
    <row r="701" spans="1:14">
      <c r="A701" s="108">
        <v>694</v>
      </c>
      <c r="B701" s="108">
        <f t="shared" si="85"/>
        <v>368</v>
      </c>
      <c r="C701" s="108">
        <f t="shared" si="86"/>
        <v>0</v>
      </c>
      <c r="F701" s="108" t="s">
        <v>2623</v>
      </c>
      <c r="G701" s="108">
        <v>16</v>
      </c>
      <c r="H701" s="108">
        <v>43</v>
      </c>
      <c r="I701" s="108">
        <v>3.7</v>
      </c>
      <c r="J701" s="108">
        <v>36</v>
      </c>
      <c r="K701" s="108">
        <v>49</v>
      </c>
      <c r="L701" s="108">
        <v>57</v>
      </c>
      <c r="M701" s="108" t="s">
        <v>2624</v>
      </c>
      <c r="N701" s="108" t="s">
        <v>2625</v>
      </c>
    </row>
    <row r="702" spans="1:14">
      <c r="A702" s="108">
        <v>695</v>
      </c>
      <c r="B702" s="108">
        <f t="shared" si="85"/>
        <v>368</v>
      </c>
      <c r="C702" s="108">
        <f t="shared" si="86"/>
        <v>0</v>
      </c>
      <c r="F702" s="108" t="s">
        <v>2626</v>
      </c>
      <c r="G702" s="108">
        <v>16</v>
      </c>
      <c r="H702" s="108">
        <v>44</v>
      </c>
      <c r="I702" s="108">
        <v>29.5</v>
      </c>
      <c r="J702" s="108">
        <v>23</v>
      </c>
      <c r="K702" s="108">
        <v>48</v>
      </c>
      <c r="L702" s="108">
        <v>0</v>
      </c>
      <c r="M702" s="108" t="s">
        <v>2627</v>
      </c>
      <c r="N702" s="108" t="s">
        <v>2628</v>
      </c>
    </row>
    <row r="703" spans="1:14">
      <c r="A703" s="108">
        <v>696</v>
      </c>
      <c r="B703" s="108">
        <f t="shared" si="85"/>
        <v>368</v>
      </c>
      <c r="C703" s="108">
        <f t="shared" si="86"/>
        <v>0</v>
      </c>
      <c r="F703" s="108" t="s">
        <v>2629</v>
      </c>
      <c r="G703" s="108">
        <v>16</v>
      </c>
      <c r="H703" s="108">
        <v>46</v>
      </c>
      <c r="I703" s="108">
        <v>58.6</v>
      </c>
      <c r="J703" s="108">
        <v>47</v>
      </c>
      <c r="K703" s="108">
        <v>31</v>
      </c>
      <c r="L703" s="108">
        <v>36</v>
      </c>
      <c r="M703" s="108" t="s">
        <v>2630</v>
      </c>
      <c r="N703" s="108" t="s">
        <v>2631</v>
      </c>
    </row>
    <row r="704" spans="1:14">
      <c r="A704" s="108">
        <v>697</v>
      </c>
      <c r="B704" s="108">
        <f t="shared" si="85"/>
        <v>368</v>
      </c>
      <c r="C704" s="108">
        <f t="shared" si="86"/>
        <v>0</v>
      </c>
      <c r="F704" s="108" t="s">
        <v>2632</v>
      </c>
      <c r="G704" s="108">
        <v>17</v>
      </c>
      <c r="H704" s="108">
        <v>10</v>
      </c>
      <c r="I704" s="108">
        <v>10.4</v>
      </c>
      <c r="J704" s="108">
        <v>-26</v>
      </c>
      <c r="K704" s="108">
        <v>-34</v>
      </c>
      <c r="L704" s="108">
        <v>-54</v>
      </c>
      <c r="M704" s="108" t="s">
        <v>2633</v>
      </c>
      <c r="N704" s="108" t="s">
        <v>2634</v>
      </c>
    </row>
    <row r="705" spans="1:14">
      <c r="A705" s="108">
        <v>698</v>
      </c>
      <c r="B705" s="108">
        <f t="shared" si="85"/>
        <v>368</v>
      </c>
      <c r="C705" s="108">
        <f t="shared" si="86"/>
        <v>0</v>
      </c>
      <c r="F705" s="108" t="s">
        <v>2635</v>
      </c>
      <c r="G705" s="108">
        <v>17</v>
      </c>
      <c r="H705" s="108">
        <v>13</v>
      </c>
      <c r="I705" s="108">
        <v>44.3</v>
      </c>
      <c r="J705" s="108">
        <v>-37</v>
      </c>
      <c r="K705" s="108">
        <v>-6</v>
      </c>
      <c r="L705" s="108">
        <v>-11</v>
      </c>
      <c r="M705" s="108" t="s">
        <v>2636</v>
      </c>
      <c r="N705" s="108" t="s">
        <v>2637</v>
      </c>
    </row>
    <row r="706" spans="1:14">
      <c r="A706" s="108">
        <v>699</v>
      </c>
      <c r="B706" s="108">
        <f t="shared" si="85"/>
        <v>368</v>
      </c>
      <c r="C706" s="108">
        <f t="shared" si="86"/>
        <v>0</v>
      </c>
      <c r="F706" s="108" t="s">
        <v>2638</v>
      </c>
      <c r="G706" s="108">
        <v>17</v>
      </c>
      <c r="H706" s="108">
        <v>14</v>
      </c>
      <c r="I706" s="108">
        <v>32.200000000000003</v>
      </c>
      <c r="J706" s="108">
        <v>-29</v>
      </c>
      <c r="K706" s="108">
        <v>-27</v>
      </c>
      <c r="L706" s="108">
        <v>-43</v>
      </c>
      <c r="M706" s="108" t="s">
        <v>2639</v>
      </c>
      <c r="N706" s="108" t="s">
        <v>2640</v>
      </c>
    </row>
    <row r="707" spans="1:14">
      <c r="A707" s="108">
        <v>700</v>
      </c>
      <c r="B707" s="108">
        <f t="shared" si="85"/>
        <v>368</v>
      </c>
      <c r="C707" s="108">
        <f t="shared" si="86"/>
        <v>0</v>
      </c>
      <c r="F707" s="108" t="s">
        <v>2641</v>
      </c>
      <c r="G707" s="108">
        <v>17</v>
      </c>
      <c r="H707" s="108">
        <v>14</v>
      </c>
      <c r="I707" s="108">
        <v>4.3</v>
      </c>
      <c r="J707" s="108">
        <v>-12</v>
      </c>
      <c r="K707" s="108">
        <v>-54</v>
      </c>
      <c r="L707" s="108">
        <v>-36</v>
      </c>
      <c r="M707" s="108" t="s">
        <v>2642</v>
      </c>
      <c r="N707" s="108" t="s">
        <v>2643</v>
      </c>
    </row>
    <row r="708" spans="1:14">
      <c r="A708" s="108">
        <v>701</v>
      </c>
      <c r="B708" s="108">
        <f t="shared" si="85"/>
        <v>368</v>
      </c>
      <c r="C708" s="108">
        <f t="shared" si="86"/>
        <v>0</v>
      </c>
      <c r="F708" s="108" t="s">
        <v>2644</v>
      </c>
      <c r="G708" s="108">
        <v>17</v>
      </c>
      <c r="H708" s="108">
        <v>16</v>
      </c>
      <c r="I708" s="108">
        <v>37.4</v>
      </c>
      <c r="J708" s="108">
        <v>-28</v>
      </c>
      <c r="K708" s="108">
        <v>-8</v>
      </c>
      <c r="L708" s="108">
        <v>-24</v>
      </c>
      <c r="M708" s="108" t="s">
        <v>2645</v>
      </c>
      <c r="N708" s="108" t="s">
        <v>2646</v>
      </c>
    </row>
    <row r="709" spans="1:14">
      <c r="A709" s="108">
        <v>702</v>
      </c>
      <c r="B709" s="108">
        <f t="shared" si="85"/>
        <v>368</v>
      </c>
      <c r="C709" s="108">
        <f t="shared" si="86"/>
        <v>0</v>
      </c>
      <c r="F709" s="108" t="s">
        <v>2647</v>
      </c>
      <c r="G709" s="108">
        <v>17</v>
      </c>
      <c r="H709" s="108">
        <v>23</v>
      </c>
      <c r="I709" s="108">
        <v>35</v>
      </c>
      <c r="J709" s="108">
        <v>-17</v>
      </c>
      <c r="K709" s="108">
        <v>-48</v>
      </c>
      <c r="L709" s="108">
        <v>-47</v>
      </c>
      <c r="M709" s="108" t="s">
        <v>2648</v>
      </c>
      <c r="N709" s="108" t="s">
        <v>2649</v>
      </c>
    </row>
    <row r="710" spans="1:14">
      <c r="A710" s="108">
        <v>703</v>
      </c>
      <c r="B710" s="108">
        <f t="shared" ref="B710:B773" si="87">IF(B709=F710,A710,B709)</f>
        <v>368</v>
      </c>
      <c r="C710" s="108">
        <f t="shared" ref="C710:C773" si="88" xml:space="preserve"> IF(C709=F710,A710,C709)</f>
        <v>0</v>
      </c>
      <c r="F710" s="108" t="s">
        <v>2650</v>
      </c>
      <c r="G710" s="108">
        <v>17</v>
      </c>
      <c r="H710" s="108">
        <v>27</v>
      </c>
      <c r="I710" s="108">
        <v>44.2</v>
      </c>
      <c r="J710" s="108">
        <v>-5</v>
      </c>
      <c r="K710" s="108">
        <v>-4</v>
      </c>
      <c r="L710" s="108">
        <v>-47</v>
      </c>
      <c r="M710" s="108" t="s">
        <v>2651</v>
      </c>
      <c r="N710" s="108" t="s">
        <v>2652</v>
      </c>
    </row>
    <row r="711" spans="1:14">
      <c r="A711" s="108">
        <v>704</v>
      </c>
      <c r="B711" s="108">
        <f t="shared" si="87"/>
        <v>368</v>
      </c>
      <c r="C711" s="108">
        <f t="shared" si="88"/>
        <v>0</v>
      </c>
      <c r="F711" s="108" t="s">
        <v>2653</v>
      </c>
      <c r="G711" s="108">
        <v>17</v>
      </c>
      <c r="H711" s="108">
        <v>29</v>
      </c>
      <c r="I711" s="108">
        <v>20.399999999999999</v>
      </c>
      <c r="J711" s="108">
        <v>-23</v>
      </c>
      <c r="K711" s="108">
        <v>-45</v>
      </c>
      <c r="L711" s="108">
        <v>-35</v>
      </c>
      <c r="M711" s="108" t="s">
        <v>2654</v>
      </c>
      <c r="N711" s="108" t="s">
        <v>2655</v>
      </c>
    </row>
    <row r="712" spans="1:14">
      <c r="A712" s="108">
        <v>705</v>
      </c>
      <c r="B712" s="108">
        <f t="shared" si="87"/>
        <v>368</v>
      </c>
      <c r="C712" s="108">
        <f t="shared" si="88"/>
        <v>0</v>
      </c>
      <c r="F712" s="108" t="s">
        <v>2656</v>
      </c>
      <c r="G712" s="108">
        <v>17</v>
      </c>
      <c r="H712" s="108">
        <v>34</v>
      </c>
      <c r="I712" s="108">
        <v>48</v>
      </c>
      <c r="J712" s="108">
        <v>-32</v>
      </c>
      <c r="K712" s="108">
        <v>-34</v>
      </c>
      <c r="L712" s="108">
        <v>0</v>
      </c>
      <c r="M712" s="108" t="s">
        <v>2657</v>
      </c>
      <c r="N712" s="108" t="s">
        <v>2658</v>
      </c>
    </row>
    <row r="713" spans="1:14">
      <c r="A713" s="108">
        <v>706</v>
      </c>
      <c r="B713" s="108">
        <f t="shared" si="87"/>
        <v>368</v>
      </c>
      <c r="C713" s="108">
        <f t="shared" si="88"/>
        <v>0</v>
      </c>
      <c r="F713" s="108" t="s">
        <v>2659</v>
      </c>
      <c r="G713" s="108">
        <v>17</v>
      </c>
      <c r="H713" s="108">
        <v>34</v>
      </c>
      <c r="I713" s="108">
        <v>48</v>
      </c>
      <c r="J713" s="108">
        <v>-32</v>
      </c>
      <c r="K713" s="108">
        <v>-34</v>
      </c>
      <c r="L713" s="108">
        <v>0</v>
      </c>
      <c r="M713" s="108" t="s">
        <v>2660</v>
      </c>
      <c r="N713" s="108" t="s">
        <v>2658</v>
      </c>
    </row>
    <row r="714" spans="1:14">
      <c r="A714" s="108">
        <v>707</v>
      </c>
      <c r="B714" s="108">
        <f t="shared" si="87"/>
        <v>368</v>
      </c>
      <c r="C714" s="108">
        <f t="shared" si="88"/>
        <v>0</v>
      </c>
      <c r="F714" s="108" t="s">
        <v>2661</v>
      </c>
      <c r="G714" s="108">
        <v>17</v>
      </c>
      <c r="H714" s="108">
        <v>32</v>
      </c>
      <c r="I714" s="108">
        <v>24.3</v>
      </c>
      <c r="J714" s="108">
        <v>7</v>
      </c>
      <c r="K714" s="108">
        <v>3</v>
      </c>
      <c r="L714" s="108">
        <v>39</v>
      </c>
      <c r="M714" s="108" t="s">
        <v>2662</v>
      </c>
      <c r="N714" s="108" t="s">
        <v>2663</v>
      </c>
    </row>
    <row r="715" spans="1:14">
      <c r="A715" s="108">
        <v>708</v>
      </c>
      <c r="B715" s="108">
        <f t="shared" si="87"/>
        <v>368</v>
      </c>
      <c r="C715" s="108">
        <f t="shared" si="88"/>
        <v>0</v>
      </c>
      <c r="F715" s="108" t="s">
        <v>2664</v>
      </c>
      <c r="G715" s="108">
        <v>17</v>
      </c>
      <c r="H715" s="108">
        <v>48</v>
      </c>
      <c r="I715" s="108">
        <v>52.7</v>
      </c>
      <c r="J715" s="108">
        <v>-20</v>
      </c>
      <c r="K715" s="108">
        <v>-21</v>
      </c>
      <c r="L715" s="108">
        <v>-35</v>
      </c>
      <c r="M715" s="108" t="s">
        <v>2665</v>
      </c>
      <c r="N715" s="108" t="s">
        <v>2666</v>
      </c>
    </row>
    <row r="716" spans="1:14">
      <c r="A716" s="108">
        <v>709</v>
      </c>
      <c r="B716" s="108">
        <f t="shared" si="87"/>
        <v>368</v>
      </c>
      <c r="C716" s="108">
        <f t="shared" si="88"/>
        <v>0</v>
      </c>
      <c r="F716" s="108" t="s">
        <v>2667</v>
      </c>
      <c r="G716" s="108">
        <v>17</v>
      </c>
      <c r="H716" s="108">
        <v>49</v>
      </c>
      <c r="I716" s="108">
        <v>15.2</v>
      </c>
      <c r="J716" s="108">
        <v>-20</v>
      </c>
      <c r="K716" s="108">
        <v>0</v>
      </c>
      <c r="L716" s="108">
        <v>-35</v>
      </c>
      <c r="M716" s="108" t="s">
        <v>2668</v>
      </c>
      <c r="N716" s="108" t="s">
        <v>1077</v>
      </c>
    </row>
    <row r="717" spans="1:14">
      <c r="A717" s="108">
        <v>710</v>
      </c>
      <c r="B717" s="108">
        <f t="shared" si="87"/>
        <v>368</v>
      </c>
      <c r="C717" s="108">
        <f t="shared" si="88"/>
        <v>0</v>
      </c>
      <c r="F717" s="108" t="s">
        <v>2669</v>
      </c>
      <c r="G717" s="108">
        <v>17</v>
      </c>
      <c r="H717" s="108">
        <v>49</v>
      </c>
      <c r="I717" s="108">
        <v>26.5</v>
      </c>
      <c r="J717" s="108">
        <v>70</v>
      </c>
      <c r="K717" s="108">
        <v>8</v>
      </c>
      <c r="L717" s="108">
        <v>40</v>
      </c>
      <c r="M717" s="108" t="s">
        <v>2670</v>
      </c>
      <c r="N717" s="108" t="s">
        <v>2671</v>
      </c>
    </row>
    <row r="718" spans="1:14">
      <c r="A718" s="108">
        <v>711</v>
      </c>
      <c r="B718" s="108">
        <f t="shared" si="87"/>
        <v>368</v>
      </c>
      <c r="C718" s="108">
        <f t="shared" si="88"/>
        <v>0</v>
      </c>
      <c r="F718" s="108" t="s">
        <v>2672</v>
      </c>
      <c r="G718" s="108">
        <v>18</v>
      </c>
      <c r="H718" s="108">
        <v>4</v>
      </c>
      <c r="I718" s="108">
        <v>48.7</v>
      </c>
      <c r="J718" s="108">
        <v>-7</v>
      </c>
      <c r="K718" s="108">
        <v>-35</v>
      </c>
      <c r="L718" s="108">
        <v>-9</v>
      </c>
      <c r="M718" s="108" t="s">
        <v>2673</v>
      </c>
      <c r="N718" s="108" t="s">
        <v>2674</v>
      </c>
    </row>
    <row r="719" spans="1:14">
      <c r="A719" s="108">
        <v>712</v>
      </c>
      <c r="B719" s="108">
        <f t="shared" si="87"/>
        <v>368</v>
      </c>
      <c r="C719" s="108">
        <f t="shared" si="88"/>
        <v>0</v>
      </c>
      <c r="F719" s="108" t="s">
        <v>2675</v>
      </c>
      <c r="G719" s="108">
        <v>17</v>
      </c>
      <c r="H719" s="108">
        <v>58</v>
      </c>
      <c r="I719" s="108">
        <v>33.4</v>
      </c>
      <c r="J719" s="108">
        <v>66</v>
      </c>
      <c r="K719" s="108">
        <v>38</v>
      </c>
      <c r="L719" s="108">
        <v>0</v>
      </c>
      <c r="M719" s="108" t="s">
        <v>2676</v>
      </c>
      <c r="N719" s="108" t="s">
        <v>2677</v>
      </c>
    </row>
    <row r="720" spans="1:14">
      <c r="A720" s="108">
        <v>713</v>
      </c>
      <c r="B720" s="108">
        <f t="shared" si="87"/>
        <v>368</v>
      </c>
      <c r="C720" s="108">
        <f t="shared" si="88"/>
        <v>0</v>
      </c>
      <c r="F720" s="108" t="s">
        <v>2678</v>
      </c>
      <c r="G720" s="108">
        <v>18</v>
      </c>
      <c r="H720" s="108">
        <v>12</v>
      </c>
      <c r="I720" s="108">
        <v>6.4</v>
      </c>
      <c r="J720" s="108">
        <v>6</v>
      </c>
      <c r="K720" s="108">
        <v>51</v>
      </c>
      <c r="L720" s="108">
        <v>13</v>
      </c>
      <c r="M720" s="108" t="s">
        <v>2679</v>
      </c>
      <c r="N720" s="108" t="s">
        <v>2628</v>
      </c>
    </row>
    <row r="721" spans="1:14">
      <c r="A721" s="108">
        <v>714</v>
      </c>
      <c r="B721" s="108">
        <f t="shared" si="87"/>
        <v>368</v>
      </c>
      <c r="C721" s="108">
        <f t="shared" si="88"/>
        <v>0</v>
      </c>
      <c r="F721" s="108" t="s">
        <v>2680</v>
      </c>
      <c r="G721" s="108">
        <v>18</v>
      </c>
      <c r="H721" s="108">
        <v>23</v>
      </c>
      <c r="I721" s="108">
        <v>40.5</v>
      </c>
      <c r="J721" s="108">
        <v>-30</v>
      </c>
      <c r="K721" s="108">
        <v>-21</v>
      </c>
      <c r="L721" s="108">
        <v>-40</v>
      </c>
      <c r="M721" s="108" t="s">
        <v>2681</v>
      </c>
      <c r="N721" s="108" t="s">
        <v>2682</v>
      </c>
    </row>
    <row r="722" spans="1:14">
      <c r="A722" s="108">
        <v>715</v>
      </c>
      <c r="B722" s="108">
        <f t="shared" si="87"/>
        <v>368</v>
      </c>
      <c r="C722" s="108">
        <f t="shared" si="88"/>
        <v>0</v>
      </c>
      <c r="F722" s="108" t="s">
        <v>2683</v>
      </c>
      <c r="G722" s="108">
        <v>18</v>
      </c>
      <c r="H722" s="108">
        <v>35</v>
      </c>
      <c r="I722" s="108">
        <v>45.6</v>
      </c>
      <c r="J722" s="108">
        <v>-32</v>
      </c>
      <c r="K722" s="108">
        <v>-59</v>
      </c>
      <c r="L722" s="108">
        <v>-27</v>
      </c>
      <c r="M722" s="108" t="s">
        <v>2684</v>
      </c>
      <c r="N722" s="108" t="s">
        <v>2685</v>
      </c>
    </row>
    <row r="723" spans="1:14">
      <c r="A723" s="108">
        <v>716</v>
      </c>
      <c r="B723" s="108">
        <f t="shared" si="87"/>
        <v>368</v>
      </c>
      <c r="C723" s="108">
        <f t="shared" si="88"/>
        <v>0</v>
      </c>
      <c r="F723" s="108" t="s">
        <v>2686</v>
      </c>
      <c r="G723" s="108">
        <v>18</v>
      </c>
      <c r="H723" s="108">
        <v>53</v>
      </c>
      <c r="I723" s="108">
        <v>4.3</v>
      </c>
      <c r="J723" s="108">
        <v>-8</v>
      </c>
      <c r="K723" s="108">
        <v>-42</v>
      </c>
      <c r="L723" s="108">
        <v>-21</v>
      </c>
      <c r="M723" s="108" t="s">
        <v>2687</v>
      </c>
      <c r="N723" s="108" t="s">
        <v>2688</v>
      </c>
    </row>
    <row r="724" spans="1:14">
      <c r="A724" s="108">
        <v>717</v>
      </c>
      <c r="B724" s="108">
        <f t="shared" si="87"/>
        <v>368</v>
      </c>
      <c r="C724" s="108">
        <f t="shared" si="88"/>
        <v>0</v>
      </c>
      <c r="F724" s="108" t="s">
        <v>2689</v>
      </c>
      <c r="G724" s="108">
        <v>19</v>
      </c>
      <c r="H724" s="108">
        <v>7</v>
      </c>
      <c r="I724" s="108">
        <v>49</v>
      </c>
      <c r="J724" s="108">
        <v>4</v>
      </c>
      <c r="K724" s="108">
        <v>16</v>
      </c>
      <c r="L724" s="108">
        <v>0</v>
      </c>
      <c r="M724" s="108" t="s">
        <v>2690</v>
      </c>
      <c r="N724" s="108" t="s">
        <v>2691</v>
      </c>
    </row>
    <row r="725" spans="1:14">
      <c r="A725" s="108">
        <v>718</v>
      </c>
      <c r="B725" s="108">
        <f t="shared" si="87"/>
        <v>368</v>
      </c>
      <c r="C725" s="108">
        <f t="shared" si="88"/>
        <v>0</v>
      </c>
      <c r="F725" s="108" t="s">
        <v>2692</v>
      </c>
      <c r="G725" s="108">
        <v>19</v>
      </c>
      <c r="H725" s="108">
        <v>11</v>
      </c>
      <c r="I725" s="108">
        <v>12</v>
      </c>
      <c r="J725" s="108">
        <v>1</v>
      </c>
      <c r="K725" s="108">
        <v>1</v>
      </c>
      <c r="L725" s="108">
        <v>50</v>
      </c>
      <c r="M725" s="108" t="s">
        <v>2693</v>
      </c>
    </row>
    <row r="726" spans="1:14">
      <c r="A726" s="108">
        <v>719</v>
      </c>
      <c r="B726" s="108">
        <f t="shared" si="87"/>
        <v>368</v>
      </c>
      <c r="C726" s="108">
        <f t="shared" si="88"/>
        <v>0</v>
      </c>
      <c r="F726" s="108" t="s">
        <v>2694</v>
      </c>
      <c r="G726" s="108">
        <v>19</v>
      </c>
      <c r="H726" s="108">
        <v>18</v>
      </c>
      <c r="I726" s="108">
        <v>28.1</v>
      </c>
      <c r="J726" s="108">
        <v>6</v>
      </c>
      <c r="K726" s="108">
        <v>32</v>
      </c>
      <c r="L726" s="108">
        <v>19</v>
      </c>
      <c r="M726" s="108" t="s">
        <v>2695</v>
      </c>
      <c r="N726" s="108" t="s">
        <v>2696</v>
      </c>
    </row>
    <row r="727" spans="1:14">
      <c r="A727" s="108">
        <v>720</v>
      </c>
      <c r="B727" s="108">
        <f t="shared" si="87"/>
        <v>368</v>
      </c>
      <c r="C727" s="108">
        <f t="shared" si="88"/>
        <v>0</v>
      </c>
      <c r="F727" s="108" t="s">
        <v>2697</v>
      </c>
      <c r="G727" s="108">
        <v>19</v>
      </c>
      <c r="H727" s="108">
        <v>22</v>
      </c>
      <c r="I727" s="108">
        <v>57</v>
      </c>
      <c r="J727" s="108">
        <v>1</v>
      </c>
      <c r="K727" s="108">
        <v>30</v>
      </c>
      <c r="L727" s="108">
        <v>46</v>
      </c>
      <c r="M727" s="108" t="s">
        <v>2698</v>
      </c>
      <c r="N727" s="108" t="s">
        <v>2699</v>
      </c>
    </row>
    <row r="728" spans="1:14">
      <c r="A728" s="108">
        <v>721</v>
      </c>
      <c r="B728" s="108">
        <f t="shared" si="87"/>
        <v>368</v>
      </c>
      <c r="C728" s="108">
        <f t="shared" si="88"/>
        <v>0</v>
      </c>
      <c r="F728" s="108" t="s">
        <v>2700</v>
      </c>
      <c r="G728" s="108">
        <v>19</v>
      </c>
      <c r="H728" s="108">
        <v>20</v>
      </c>
      <c r="I728" s="108">
        <v>53</v>
      </c>
      <c r="J728" s="108">
        <v>37</v>
      </c>
      <c r="K728" s="108">
        <v>46</v>
      </c>
      <c r="L728" s="108">
        <v>1</v>
      </c>
      <c r="M728" s="108" t="s">
        <v>2701</v>
      </c>
      <c r="N728" s="108" t="s">
        <v>2702</v>
      </c>
    </row>
    <row r="729" spans="1:14">
      <c r="A729" s="108">
        <v>722</v>
      </c>
      <c r="B729" s="108">
        <f t="shared" si="87"/>
        <v>368</v>
      </c>
      <c r="C729" s="108">
        <f t="shared" si="88"/>
        <v>0</v>
      </c>
      <c r="F729" s="108" t="s">
        <v>2703</v>
      </c>
      <c r="G729" s="108">
        <v>19</v>
      </c>
      <c r="H729" s="108">
        <v>43</v>
      </c>
      <c r="I729" s="108">
        <v>58</v>
      </c>
      <c r="J729" s="108">
        <v>-14</v>
      </c>
      <c r="K729" s="108">
        <v>-9</v>
      </c>
      <c r="L729" s="108">
        <v>-13</v>
      </c>
      <c r="M729" s="108" t="s">
        <v>2704</v>
      </c>
      <c r="N729" s="108" t="s">
        <v>2705</v>
      </c>
    </row>
    <row r="730" spans="1:14">
      <c r="A730" s="108">
        <v>723</v>
      </c>
      <c r="B730" s="108">
        <f t="shared" si="87"/>
        <v>368</v>
      </c>
      <c r="C730" s="108">
        <f t="shared" si="88"/>
        <v>0</v>
      </c>
      <c r="F730" s="108" t="s">
        <v>2706</v>
      </c>
      <c r="G730" s="108">
        <v>19</v>
      </c>
      <c r="H730" s="108">
        <v>44</v>
      </c>
      <c r="I730" s="108">
        <v>56.2</v>
      </c>
      <c r="J730" s="108">
        <v>-14</v>
      </c>
      <c r="K730" s="108">
        <v>-47</v>
      </c>
      <c r="L730" s="108">
        <v>-51</v>
      </c>
      <c r="M730" s="108" t="s">
        <v>2707</v>
      </c>
      <c r="N730" s="108" t="s">
        <v>2708</v>
      </c>
    </row>
    <row r="731" spans="1:14">
      <c r="A731" s="108">
        <v>724</v>
      </c>
      <c r="B731" s="108">
        <f t="shared" si="87"/>
        <v>368</v>
      </c>
      <c r="C731" s="108">
        <f t="shared" si="88"/>
        <v>0</v>
      </c>
      <c r="F731" s="108" t="s">
        <v>2709</v>
      </c>
      <c r="G731" s="108">
        <v>19</v>
      </c>
      <c r="H731" s="108">
        <v>44</v>
      </c>
      <c r="I731" s="108">
        <v>48.1</v>
      </c>
      <c r="J731" s="108">
        <v>50</v>
      </c>
      <c r="K731" s="108">
        <v>31</v>
      </c>
      <c r="L731" s="108">
        <v>30</v>
      </c>
      <c r="M731" s="108" t="s">
        <v>2710</v>
      </c>
      <c r="N731" s="108" t="s">
        <v>2711</v>
      </c>
    </row>
    <row r="732" spans="1:14">
      <c r="A732" s="108">
        <v>725</v>
      </c>
      <c r="B732" s="108">
        <f t="shared" si="87"/>
        <v>368</v>
      </c>
      <c r="C732" s="108">
        <f t="shared" si="88"/>
        <v>0</v>
      </c>
      <c r="F732" s="108" t="s">
        <v>2712</v>
      </c>
      <c r="G732" s="108">
        <v>20</v>
      </c>
      <c r="H732" s="108">
        <v>10</v>
      </c>
      <c r="I732" s="108">
        <v>23.7</v>
      </c>
      <c r="J732" s="108">
        <v>46</v>
      </c>
      <c r="K732" s="108">
        <v>27</v>
      </c>
      <c r="L732" s="108">
        <v>40</v>
      </c>
      <c r="M732" s="108" t="s">
        <v>2713</v>
      </c>
      <c r="N732" s="108" t="s">
        <v>2714</v>
      </c>
    </row>
    <row r="733" spans="1:14">
      <c r="A733" s="108">
        <v>726</v>
      </c>
      <c r="B733" s="108">
        <f t="shared" si="87"/>
        <v>368</v>
      </c>
      <c r="C733" s="108">
        <f t="shared" si="88"/>
        <v>0</v>
      </c>
      <c r="F733" s="108" t="s">
        <v>2715</v>
      </c>
      <c r="G733" s="108">
        <v>20</v>
      </c>
      <c r="H733" s="108">
        <v>12</v>
      </c>
      <c r="I733" s="108">
        <v>1</v>
      </c>
      <c r="J733" s="108">
        <v>26</v>
      </c>
      <c r="K733" s="108">
        <v>28</v>
      </c>
      <c r="L733" s="108">
        <v>4</v>
      </c>
      <c r="M733" s="108" t="s">
        <v>2716</v>
      </c>
      <c r="N733" s="108" t="s">
        <v>2717</v>
      </c>
    </row>
    <row r="734" spans="1:14">
      <c r="A734" s="108">
        <v>727</v>
      </c>
      <c r="B734" s="108">
        <f t="shared" si="87"/>
        <v>368</v>
      </c>
      <c r="C734" s="108">
        <f t="shared" si="88"/>
        <v>0</v>
      </c>
      <c r="F734" s="108" t="s">
        <v>2718</v>
      </c>
      <c r="G734" s="108">
        <v>20</v>
      </c>
      <c r="H734" s="108">
        <v>12</v>
      </c>
      <c r="I734" s="108">
        <v>42.8</v>
      </c>
      <c r="J734" s="108">
        <v>19</v>
      </c>
      <c r="K734" s="108">
        <v>59</v>
      </c>
      <c r="L734" s="108">
        <v>22</v>
      </c>
      <c r="M734" s="108" t="s">
        <v>2719</v>
      </c>
      <c r="N734" s="108" t="s">
        <v>2720</v>
      </c>
    </row>
    <row r="735" spans="1:14">
      <c r="A735" s="108">
        <v>728</v>
      </c>
      <c r="B735" s="108">
        <f t="shared" si="87"/>
        <v>368</v>
      </c>
      <c r="C735" s="108">
        <f t="shared" si="88"/>
        <v>0</v>
      </c>
      <c r="F735" s="108" t="s">
        <v>2721</v>
      </c>
      <c r="G735" s="108">
        <v>20</v>
      </c>
      <c r="H735" s="108">
        <v>15</v>
      </c>
      <c r="I735" s="108">
        <v>8.8000000000000007</v>
      </c>
      <c r="J735" s="108">
        <v>12</v>
      </c>
      <c r="K735" s="108">
        <v>42</v>
      </c>
      <c r="L735" s="108">
        <v>16</v>
      </c>
      <c r="M735" s="108" t="s">
        <v>2722</v>
      </c>
      <c r="N735" s="108" t="s">
        <v>2720</v>
      </c>
    </row>
    <row r="736" spans="1:14">
      <c r="A736" s="108">
        <v>729</v>
      </c>
      <c r="B736" s="108">
        <f t="shared" si="87"/>
        <v>368</v>
      </c>
      <c r="C736" s="108">
        <f t="shared" si="88"/>
        <v>0</v>
      </c>
      <c r="F736" s="108" t="s">
        <v>2723</v>
      </c>
      <c r="G736" s="108">
        <v>20</v>
      </c>
      <c r="H736" s="108">
        <v>22</v>
      </c>
      <c r="I736" s="108">
        <v>23</v>
      </c>
      <c r="J736" s="108">
        <v>20</v>
      </c>
      <c r="K736" s="108">
        <v>6</v>
      </c>
      <c r="L736" s="108">
        <v>16</v>
      </c>
      <c r="M736" s="108" t="s">
        <v>2724</v>
      </c>
      <c r="N736" s="108" t="s">
        <v>2725</v>
      </c>
    </row>
    <row r="737" spans="1:14">
      <c r="A737" s="108">
        <v>730</v>
      </c>
      <c r="B737" s="108">
        <f t="shared" si="87"/>
        <v>368</v>
      </c>
      <c r="C737" s="108">
        <f t="shared" si="88"/>
        <v>0</v>
      </c>
      <c r="F737" s="108" t="s">
        <v>2726</v>
      </c>
      <c r="G737" s="108">
        <v>20</v>
      </c>
      <c r="H737" s="108">
        <v>31</v>
      </c>
      <c r="I737" s="108">
        <v>30</v>
      </c>
      <c r="J737" s="108">
        <v>60</v>
      </c>
      <c r="K737" s="108">
        <v>39</v>
      </c>
      <c r="L737" s="108">
        <v>42</v>
      </c>
      <c r="M737" s="108" t="s">
        <v>2727</v>
      </c>
      <c r="N737" s="108" t="s">
        <v>2728</v>
      </c>
    </row>
    <row r="738" spans="1:14">
      <c r="A738" s="108">
        <v>731</v>
      </c>
      <c r="B738" s="108">
        <f t="shared" si="87"/>
        <v>368</v>
      </c>
      <c r="C738" s="108">
        <f t="shared" si="88"/>
        <v>0</v>
      </c>
      <c r="F738" s="108" t="s">
        <v>2729</v>
      </c>
      <c r="G738" s="108">
        <v>20</v>
      </c>
      <c r="H738" s="108">
        <v>34</v>
      </c>
      <c r="I738" s="108">
        <v>52.3</v>
      </c>
      <c r="J738" s="108">
        <v>60</v>
      </c>
      <c r="K738" s="108">
        <v>9</v>
      </c>
      <c r="L738" s="108">
        <v>13</v>
      </c>
      <c r="M738" s="108" t="s">
        <v>2730</v>
      </c>
      <c r="N738" s="108" t="s">
        <v>2731</v>
      </c>
    </row>
    <row r="739" spans="1:14">
      <c r="A739" s="108">
        <v>732</v>
      </c>
      <c r="B739" s="108">
        <f t="shared" si="87"/>
        <v>368</v>
      </c>
      <c r="C739" s="108">
        <f t="shared" si="88"/>
        <v>0</v>
      </c>
      <c r="F739" s="108" t="s">
        <v>2732</v>
      </c>
      <c r="G739" s="108">
        <v>20</v>
      </c>
      <c r="H739" s="108">
        <v>57</v>
      </c>
      <c r="I739" s="108">
        <v>0</v>
      </c>
      <c r="J739" s="108">
        <v>31</v>
      </c>
      <c r="K739" s="108">
        <v>13</v>
      </c>
      <c r="L739" s="108">
        <v>0</v>
      </c>
      <c r="M739" s="108" t="s">
        <v>2733</v>
      </c>
      <c r="N739" s="108" t="s">
        <v>2734</v>
      </c>
    </row>
    <row r="740" spans="1:14">
      <c r="A740" s="108">
        <v>733</v>
      </c>
      <c r="B740" s="108">
        <f t="shared" si="87"/>
        <v>368</v>
      </c>
      <c r="C740" s="108">
        <f t="shared" si="88"/>
        <v>0</v>
      </c>
      <c r="F740" s="108" t="s">
        <v>2735</v>
      </c>
      <c r="G740" s="108">
        <v>21</v>
      </c>
      <c r="H740" s="108">
        <v>0</v>
      </c>
      <c r="I740" s="108">
        <v>32.700000000000003</v>
      </c>
      <c r="J740" s="108">
        <v>54</v>
      </c>
      <c r="K740" s="108">
        <v>32</v>
      </c>
      <c r="L740" s="108">
        <v>39</v>
      </c>
      <c r="M740" s="108" t="s">
        <v>2736</v>
      </c>
      <c r="N740" s="108" t="s">
        <v>2155</v>
      </c>
    </row>
    <row r="741" spans="1:14">
      <c r="A741" s="108">
        <v>734</v>
      </c>
      <c r="B741" s="108">
        <f t="shared" si="87"/>
        <v>368</v>
      </c>
      <c r="C741" s="108">
        <f t="shared" si="88"/>
        <v>0</v>
      </c>
      <c r="F741" s="108" t="s">
        <v>2737</v>
      </c>
      <c r="G741" s="108">
        <v>21</v>
      </c>
      <c r="H741" s="108">
        <v>4</v>
      </c>
      <c r="I741" s="108">
        <v>10.9</v>
      </c>
      <c r="J741" s="108">
        <v>-11</v>
      </c>
      <c r="K741" s="108">
        <v>-21</v>
      </c>
      <c r="L741" s="108">
        <v>-48</v>
      </c>
      <c r="M741" s="108" t="s">
        <v>2738</v>
      </c>
      <c r="N741" s="108" t="s">
        <v>2739</v>
      </c>
    </row>
    <row r="742" spans="1:14">
      <c r="A742" s="108">
        <v>735</v>
      </c>
      <c r="B742" s="108">
        <f t="shared" si="87"/>
        <v>368</v>
      </c>
      <c r="C742" s="108">
        <f t="shared" si="88"/>
        <v>0</v>
      </c>
      <c r="F742" s="108" t="s">
        <v>2740</v>
      </c>
      <c r="G742" s="108">
        <v>21</v>
      </c>
      <c r="H742" s="108">
        <v>6</v>
      </c>
      <c r="I742" s="108">
        <v>18.2</v>
      </c>
      <c r="J742" s="108">
        <v>47</v>
      </c>
      <c r="K742" s="108">
        <v>51</v>
      </c>
      <c r="L742" s="108">
        <v>7</v>
      </c>
      <c r="M742" s="108" t="s">
        <v>2741</v>
      </c>
      <c r="N742" s="108" t="s">
        <v>2742</v>
      </c>
    </row>
    <row r="743" spans="1:14">
      <c r="A743" s="108">
        <v>736</v>
      </c>
      <c r="B743" s="108">
        <f t="shared" si="87"/>
        <v>368</v>
      </c>
      <c r="C743" s="108">
        <f t="shared" si="88"/>
        <v>0</v>
      </c>
      <c r="F743" s="108" t="s">
        <v>2743</v>
      </c>
      <c r="G743" s="108">
        <v>21</v>
      </c>
      <c r="H743" s="108">
        <v>7</v>
      </c>
      <c r="I743" s="108">
        <v>1.8</v>
      </c>
      <c r="J743" s="108">
        <v>42</v>
      </c>
      <c r="K743" s="108">
        <v>14</v>
      </c>
      <c r="L743" s="108">
        <v>10</v>
      </c>
      <c r="M743" s="108" t="s">
        <v>2744</v>
      </c>
      <c r="N743" s="108" t="s">
        <v>2745</v>
      </c>
    </row>
    <row r="744" spans="1:14">
      <c r="A744" s="108">
        <v>737</v>
      </c>
      <c r="B744" s="108">
        <f t="shared" si="87"/>
        <v>368</v>
      </c>
      <c r="C744" s="108">
        <f t="shared" si="88"/>
        <v>0</v>
      </c>
      <c r="F744" s="108" t="s">
        <v>2746</v>
      </c>
      <c r="G744" s="108">
        <v>22</v>
      </c>
      <c r="H744" s="108">
        <v>7</v>
      </c>
      <c r="I744" s="108">
        <v>52.4</v>
      </c>
      <c r="J744" s="108">
        <v>31</v>
      </c>
      <c r="K744" s="108">
        <v>21</v>
      </c>
      <c r="L744" s="108">
        <v>33</v>
      </c>
      <c r="M744" s="108" t="s">
        <v>2747</v>
      </c>
      <c r="N744" s="108" t="s">
        <v>2748</v>
      </c>
    </row>
    <row r="745" spans="1:14">
      <c r="A745" s="108">
        <v>738</v>
      </c>
      <c r="B745" s="108">
        <f t="shared" si="87"/>
        <v>368</v>
      </c>
      <c r="C745" s="108">
        <f t="shared" si="88"/>
        <v>0</v>
      </c>
      <c r="F745" s="108" t="s">
        <v>2749</v>
      </c>
      <c r="G745" s="108">
        <v>22</v>
      </c>
      <c r="H745" s="108">
        <v>20</v>
      </c>
      <c r="I745" s="108">
        <v>44.8</v>
      </c>
      <c r="J745" s="108">
        <v>-24</v>
      </c>
      <c r="K745" s="108">
        <v>-40</v>
      </c>
      <c r="L745" s="108">
        <v>-42</v>
      </c>
      <c r="M745" s="108" t="s">
        <v>2750</v>
      </c>
      <c r="N745" s="108" t="s">
        <v>2751</v>
      </c>
    </row>
    <row r="746" spans="1:14">
      <c r="A746" s="108">
        <v>739</v>
      </c>
      <c r="B746" s="108">
        <f t="shared" si="87"/>
        <v>368</v>
      </c>
      <c r="C746" s="108">
        <f t="shared" si="88"/>
        <v>0</v>
      </c>
      <c r="F746" s="108" t="s">
        <v>2752</v>
      </c>
      <c r="G746" s="108">
        <v>22</v>
      </c>
      <c r="H746" s="108">
        <v>29</v>
      </c>
      <c r="I746" s="108">
        <v>38.5</v>
      </c>
      <c r="J746" s="108">
        <v>-20</v>
      </c>
      <c r="K746" s="108">
        <v>-50</v>
      </c>
      <c r="L746" s="108">
        <v>-14</v>
      </c>
      <c r="M746" s="108" t="s">
        <v>2753</v>
      </c>
      <c r="N746" s="108" t="s">
        <v>2754</v>
      </c>
    </row>
    <row r="747" spans="1:14">
      <c r="A747" s="108">
        <v>740</v>
      </c>
      <c r="B747" s="108">
        <f t="shared" si="87"/>
        <v>368</v>
      </c>
      <c r="C747" s="108">
        <f t="shared" si="88"/>
        <v>0</v>
      </c>
      <c r="F747" s="108" t="s">
        <v>2755</v>
      </c>
      <c r="G747" s="108">
        <v>22</v>
      </c>
      <c r="H747" s="108">
        <v>35</v>
      </c>
      <c r="I747" s="108">
        <v>46.2</v>
      </c>
      <c r="J747" s="108">
        <v>-26</v>
      </c>
      <c r="K747" s="108">
        <v>-3</v>
      </c>
      <c r="L747" s="108">
        <v>-1</v>
      </c>
      <c r="M747" s="108" t="s">
        <v>2756</v>
      </c>
      <c r="N747" s="108" t="s">
        <v>2757</v>
      </c>
    </row>
    <row r="748" spans="1:14">
      <c r="A748" s="108">
        <v>741</v>
      </c>
      <c r="B748" s="108">
        <f t="shared" si="87"/>
        <v>368</v>
      </c>
      <c r="C748" s="108">
        <f t="shared" si="88"/>
        <v>0</v>
      </c>
      <c r="F748" s="108" t="s">
        <v>2758</v>
      </c>
      <c r="G748" s="108">
        <v>22</v>
      </c>
      <c r="H748" s="108">
        <v>37</v>
      </c>
      <c r="I748" s="108">
        <v>4.0999999999999996</v>
      </c>
      <c r="J748" s="108">
        <v>34</v>
      </c>
      <c r="K748" s="108">
        <v>24</v>
      </c>
      <c r="L748" s="108">
        <v>57</v>
      </c>
      <c r="M748" s="108" t="s">
        <v>2759</v>
      </c>
      <c r="N748" s="108" t="s">
        <v>2760</v>
      </c>
    </row>
    <row r="749" spans="1:14">
      <c r="A749" s="108">
        <v>742</v>
      </c>
      <c r="B749" s="108">
        <f t="shared" si="87"/>
        <v>368</v>
      </c>
      <c r="C749" s="108">
        <f t="shared" si="88"/>
        <v>0</v>
      </c>
      <c r="F749" s="108" t="s">
        <v>2761</v>
      </c>
      <c r="G749" s="108">
        <v>22</v>
      </c>
      <c r="H749" s="108">
        <v>37</v>
      </c>
      <c r="I749" s="108">
        <v>24.5</v>
      </c>
      <c r="J749" s="108">
        <v>23</v>
      </c>
      <c r="K749" s="108">
        <v>47</v>
      </c>
      <c r="L749" s="108">
        <v>54</v>
      </c>
      <c r="M749" s="108" t="s">
        <v>2762</v>
      </c>
      <c r="N749" s="108" t="s">
        <v>2763</v>
      </c>
    </row>
    <row r="750" spans="1:14">
      <c r="A750" s="108">
        <v>743</v>
      </c>
      <c r="B750" s="108">
        <f t="shared" si="87"/>
        <v>368</v>
      </c>
      <c r="C750" s="108">
        <f t="shared" si="88"/>
        <v>0</v>
      </c>
      <c r="F750" s="108" t="s">
        <v>2764</v>
      </c>
      <c r="G750" s="108">
        <v>22</v>
      </c>
      <c r="H750" s="108">
        <v>47</v>
      </c>
      <c r="I750" s="108">
        <v>47.5</v>
      </c>
      <c r="J750" s="108">
        <v>-22</v>
      </c>
      <c r="K750" s="108">
        <v>-18</v>
      </c>
      <c r="L750" s="108">
        <v>-43</v>
      </c>
      <c r="M750" s="108" t="s">
        <v>2765</v>
      </c>
      <c r="N750" s="108" t="s">
        <v>2766</v>
      </c>
    </row>
    <row r="751" spans="1:14">
      <c r="A751" s="108">
        <v>744</v>
      </c>
      <c r="B751" s="108">
        <f t="shared" si="87"/>
        <v>368</v>
      </c>
      <c r="C751" s="108">
        <f t="shared" si="88"/>
        <v>0</v>
      </c>
      <c r="F751" s="108" t="s">
        <v>2767</v>
      </c>
      <c r="G751" s="108">
        <v>23</v>
      </c>
      <c r="H751" s="108">
        <v>0</v>
      </c>
      <c r="I751" s="108">
        <v>3.6</v>
      </c>
      <c r="J751" s="108">
        <v>15</v>
      </c>
      <c r="K751" s="108">
        <v>58</v>
      </c>
      <c r="L751" s="108">
        <v>48</v>
      </c>
      <c r="M751" s="108" t="s">
        <v>2768</v>
      </c>
      <c r="N751" s="108" t="s">
        <v>2155</v>
      </c>
    </row>
    <row r="752" spans="1:14">
      <c r="A752" s="108">
        <v>745</v>
      </c>
      <c r="B752" s="108">
        <f t="shared" si="87"/>
        <v>368</v>
      </c>
      <c r="C752" s="108">
        <f t="shared" si="88"/>
        <v>0</v>
      </c>
      <c r="F752" s="108" t="s">
        <v>2769</v>
      </c>
      <c r="G752" s="108">
        <v>23</v>
      </c>
      <c r="H752" s="108">
        <v>1</v>
      </c>
      <c r="I752" s="108">
        <v>6.5</v>
      </c>
      <c r="J752" s="108">
        <v>16</v>
      </c>
      <c r="K752" s="108">
        <v>23</v>
      </c>
      <c r="L752" s="108">
        <v>18</v>
      </c>
      <c r="M752" s="108" t="s">
        <v>2770</v>
      </c>
      <c r="N752" s="108" t="s">
        <v>2771</v>
      </c>
    </row>
    <row r="753" spans="1:14">
      <c r="A753" s="108">
        <v>746</v>
      </c>
      <c r="B753" s="108">
        <f t="shared" si="87"/>
        <v>368</v>
      </c>
      <c r="C753" s="108">
        <f t="shared" si="88"/>
        <v>0</v>
      </c>
      <c r="F753" s="108" t="s">
        <v>2772</v>
      </c>
      <c r="G753" s="108">
        <v>23</v>
      </c>
      <c r="H753" s="108">
        <v>0</v>
      </c>
      <c r="I753" s="108">
        <v>59.9</v>
      </c>
      <c r="J753" s="108">
        <v>30</v>
      </c>
      <c r="K753" s="108">
        <v>8</v>
      </c>
      <c r="L753" s="108">
        <v>42</v>
      </c>
      <c r="M753" s="108" t="s">
        <v>2773</v>
      </c>
      <c r="N753" s="108" t="s">
        <v>2774</v>
      </c>
    </row>
    <row r="754" spans="1:14">
      <c r="A754" s="108">
        <v>747</v>
      </c>
      <c r="B754" s="108">
        <f t="shared" si="87"/>
        <v>368</v>
      </c>
      <c r="C754" s="108">
        <f t="shared" si="88"/>
        <v>0</v>
      </c>
      <c r="F754" s="108" t="s">
        <v>2775</v>
      </c>
      <c r="G754" s="108">
        <v>23</v>
      </c>
      <c r="H754" s="108">
        <v>4</v>
      </c>
      <c r="I754" s="108">
        <v>56.7</v>
      </c>
      <c r="J754" s="108">
        <v>12</v>
      </c>
      <c r="K754" s="108">
        <v>19</v>
      </c>
      <c r="L754" s="108">
        <v>22</v>
      </c>
      <c r="M754" s="108" t="s">
        <v>2776</v>
      </c>
      <c r="N754" s="108" t="s">
        <v>2777</v>
      </c>
    </row>
    <row r="755" spans="1:14">
      <c r="A755" s="108">
        <v>748</v>
      </c>
      <c r="B755" s="108">
        <f t="shared" si="87"/>
        <v>368</v>
      </c>
      <c r="C755" s="108">
        <f t="shared" si="88"/>
        <v>0</v>
      </c>
      <c r="F755" s="108" t="s">
        <v>2778</v>
      </c>
      <c r="G755" s="108">
        <v>23</v>
      </c>
      <c r="H755" s="108">
        <v>12</v>
      </c>
      <c r="I755" s="108">
        <v>7.6</v>
      </c>
      <c r="J755" s="108">
        <v>-28</v>
      </c>
      <c r="K755" s="108">
        <v>-32</v>
      </c>
      <c r="L755" s="108">
        <v>-23</v>
      </c>
      <c r="M755" s="108" t="s">
        <v>2779</v>
      </c>
      <c r="N755" s="108" t="s">
        <v>2780</v>
      </c>
    </row>
    <row r="756" spans="1:14">
      <c r="A756" s="108">
        <v>749</v>
      </c>
      <c r="B756" s="108">
        <f t="shared" si="87"/>
        <v>368</v>
      </c>
      <c r="C756" s="108">
        <f t="shared" si="88"/>
        <v>0</v>
      </c>
      <c r="F756" s="108" t="s">
        <v>2781</v>
      </c>
      <c r="G756" s="108">
        <v>23</v>
      </c>
      <c r="H756" s="108">
        <v>19</v>
      </c>
      <c r="I756" s="108">
        <v>4.8</v>
      </c>
      <c r="J756" s="108">
        <v>-8</v>
      </c>
      <c r="K756" s="108">
        <v>-29</v>
      </c>
      <c r="L756" s="108">
        <v>-7</v>
      </c>
      <c r="M756" s="108" t="s">
        <v>2782</v>
      </c>
      <c r="N756" s="108" t="s">
        <v>2783</v>
      </c>
    </row>
    <row r="757" spans="1:14">
      <c r="A757" s="108">
        <v>750</v>
      </c>
      <c r="B757" s="108">
        <f t="shared" si="87"/>
        <v>368</v>
      </c>
      <c r="C757" s="108">
        <f t="shared" si="88"/>
        <v>0</v>
      </c>
      <c r="F757" s="108" t="s">
        <v>2784</v>
      </c>
      <c r="G757" s="108">
        <v>23</v>
      </c>
      <c r="H757" s="108">
        <v>20</v>
      </c>
      <c r="I757" s="108">
        <v>14.5</v>
      </c>
      <c r="J757" s="108">
        <v>8</v>
      </c>
      <c r="K757" s="108">
        <v>12</v>
      </c>
      <c r="L757" s="108">
        <v>23</v>
      </c>
      <c r="M757" s="108" t="s">
        <v>2785</v>
      </c>
      <c r="N757" s="108" t="s">
        <v>2786</v>
      </c>
    </row>
    <row r="758" spans="1:14">
      <c r="A758" s="108">
        <v>751</v>
      </c>
      <c r="B758" s="108">
        <f t="shared" si="87"/>
        <v>368</v>
      </c>
      <c r="C758" s="108">
        <f t="shared" si="88"/>
        <v>0</v>
      </c>
      <c r="F758" s="108" t="s">
        <v>2787</v>
      </c>
      <c r="G758" s="108">
        <v>23</v>
      </c>
      <c r="H758" s="108">
        <v>20</v>
      </c>
      <c r="I758" s="108">
        <v>42.5</v>
      </c>
      <c r="J758" s="108">
        <v>8</v>
      </c>
      <c r="K758" s="108">
        <v>13</v>
      </c>
      <c r="L758" s="108">
        <v>1</v>
      </c>
      <c r="M758" s="108" t="s">
        <v>2788</v>
      </c>
      <c r="N758" s="108" t="s">
        <v>2786</v>
      </c>
    </row>
    <row r="759" spans="1:14">
      <c r="A759" s="108">
        <v>752</v>
      </c>
      <c r="B759" s="108">
        <f t="shared" si="87"/>
        <v>368</v>
      </c>
      <c r="C759" s="108">
        <f t="shared" si="88"/>
        <v>0</v>
      </c>
      <c r="F759" s="108" t="s">
        <v>2789</v>
      </c>
      <c r="G759" s="108">
        <v>23</v>
      </c>
      <c r="H759" s="108">
        <v>22</v>
      </c>
      <c r="I759" s="108">
        <v>6.6</v>
      </c>
      <c r="J759" s="108">
        <v>40</v>
      </c>
      <c r="K759" s="108">
        <v>50</v>
      </c>
      <c r="L759" s="108">
        <v>43</v>
      </c>
      <c r="M759" s="108" t="s">
        <v>2790</v>
      </c>
      <c r="N759" s="108" t="s">
        <v>2791</v>
      </c>
    </row>
    <row r="760" spans="1:14">
      <c r="A760" s="108">
        <v>753</v>
      </c>
      <c r="B760" s="108">
        <f t="shared" si="87"/>
        <v>368</v>
      </c>
      <c r="C760" s="108">
        <f t="shared" si="88"/>
        <v>0</v>
      </c>
      <c r="F760" s="108" t="s">
        <v>2792</v>
      </c>
      <c r="G760" s="108">
        <v>23</v>
      </c>
      <c r="H760" s="108">
        <v>25</v>
      </c>
      <c r="I760" s="108">
        <v>53.6</v>
      </c>
      <c r="J760" s="108">
        <v>42</v>
      </c>
      <c r="K760" s="108">
        <v>32</v>
      </c>
      <c r="L760" s="108">
        <v>6</v>
      </c>
      <c r="M760" s="108" t="s">
        <v>2793</v>
      </c>
      <c r="N760" s="108" t="s">
        <v>2794</v>
      </c>
    </row>
    <row r="761" spans="1:14">
      <c r="A761" s="108">
        <v>754</v>
      </c>
      <c r="B761" s="108">
        <f t="shared" si="87"/>
        <v>368</v>
      </c>
      <c r="C761" s="108">
        <f t="shared" si="88"/>
        <v>0</v>
      </c>
      <c r="F761" s="108" t="s">
        <v>2795</v>
      </c>
      <c r="G761" s="108">
        <v>23</v>
      </c>
      <c r="H761" s="108">
        <v>38</v>
      </c>
      <c r="I761" s="108">
        <v>57.1</v>
      </c>
      <c r="J761" s="108">
        <v>-12</v>
      </c>
      <c r="K761" s="108">
        <v>-57</v>
      </c>
      <c r="L761" s="108">
        <v>-40</v>
      </c>
      <c r="M761" s="108" t="s">
        <v>2796</v>
      </c>
      <c r="N761" s="108" t="s">
        <v>2797</v>
      </c>
    </row>
    <row r="762" spans="1:14">
      <c r="A762" s="108">
        <v>755</v>
      </c>
      <c r="B762" s="108">
        <f t="shared" si="87"/>
        <v>368</v>
      </c>
      <c r="C762" s="108">
        <f t="shared" si="88"/>
        <v>0</v>
      </c>
      <c r="F762" s="108" t="s">
        <v>2798</v>
      </c>
      <c r="G762" s="108">
        <v>23</v>
      </c>
      <c r="H762" s="108">
        <v>39</v>
      </c>
      <c r="I762" s="108">
        <v>53.9</v>
      </c>
      <c r="J762" s="108">
        <v>-12</v>
      </c>
      <c r="K762" s="108">
        <v>-17</v>
      </c>
      <c r="L762" s="108">
        <v>-35</v>
      </c>
      <c r="M762" s="108" t="s">
        <v>2799</v>
      </c>
      <c r="N762" s="108" t="s">
        <v>2800</v>
      </c>
    </row>
    <row r="763" spans="1:14">
      <c r="A763" s="108">
        <v>756</v>
      </c>
      <c r="B763" s="108">
        <f t="shared" si="87"/>
        <v>368</v>
      </c>
      <c r="C763" s="108">
        <f t="shared" si="88"/>
        <v>0</v>
      </c>
      <c r="F763" s="108" t="s">
        <v>2801</v>
      </c>
      <c r="G763" s="108">
        <v>23</v>
      </c>
      <c r="H763" s="108">
        <v>43</v>
      </c>
      <c r="I763" s="108">
        <v>54.4</v>
      </c>
      <c r="J763" s="108">
        <v>26</v>
      </c>
      <c r="K763" s="108">
        <v>4</v>
      </c>
      <c r="L763" s="108">
        <v>33</v>
      </c>
      <c r="M763" s="108" t="s">
        <v>2802</v>
      </c>
      <c r="N763" s="108" t="s">
        <v>2155</v>
      </c>
    </row>
    <row r="764" spans="1:14">
      <c r="A764" s="108">
        <v>757</v>
      </c>
      <c r="B764" s="108">
        <f t="shared" si="87"/>
        <v>368</v>
      </c>
      <c r="C764" s="108">
        <f t="shared" si="88"/>
        <v>0</v>
      </c>
      <c r="F764" s="108" t="s">
        <v>2803</v>
      </c>
      <c r="G764" s="108">
        <v>23</v>
      </c>
      <c r="H764" s="108">
        <v>51</v>
      </c>
      <c r="I764" s="108">
        <v>4</v>
      </c>
      <c r="J764" s="108">
        <v>20</v>
      </c>
      <c r="K764" s="108">
        <v>9</v>
      </c>
      <c r="L764" s="108">
        <v>1</v>
      </c>
      <c r="M764" s="108" t="s">
        <v>2804</v>
      </c>
      <c r="N764" s="108" t="s">
        <v>2805</v>
      </c>
    </row>
    <row r="765" spans="1:14">
      <c r="A765" s="108">
        <v>758</v>
      </c>
      <c r="B765" s="108">
        <f t="shared" si="87"/>
        <v>368</v>
      </c>
      <c r="C765" s="108">
        <f t="shared" si="88"/>
        <v>0</v>
      </c>
      <c r="F765" s="108" t="s">
        <v>2806</v>
      </c>
      <c r="G765" s="108">
        <v>23</v>
      </c>
      <c r="H765" s="108">
        <v>51</v>
      </c>
      <c r="I765" s="108">
        <v>24.9</v>
      </c>
      <c r="J765" s="108">
        <v>20</v>
      </c>
      <c r="K765" s="108">
        <v>6</v>
      </c>
      <c r="L765" s="108">
        <v>43</v>
      </c>
      <c r="M765" s="108" t="s">
        <v>2807</v>
      </c>
      <c r="N765" s="108" t="s">
        <v>2808</v>
      </c>
    </row>
    <row r="766" spans="1:14">
      <c r="A766" s="108">
        <v>759</v>
      </c>
      <c r="B766" s="108">
        <f t="shared" si="87"/>
        <v>368</v>
      </c>
      <c r="C766" s="108">
        <f t="shared" si="88"/>
        <v>0</v>
      </c>
      <c r="F766" s="108" t="s">
        <v>2809</v>
      </c>
      <c r="G766" s="108">
        <v>23</v>
      </c>
      <c r="H766" s="108">
        <v>55</v>
      </c>
      <c r="I766" s="108">
        <v>19</v>
      </c>
      <c r="J766" s="108">
        <v>5</v>
      </c>
      <c r="K766" s="108">
        <v>54</v>
      </c>
      <c r="L766" s="108">
        <v>57</v>
      </c>
      <c r="M766" s="108" t="s">
        <v>2810</v>
      </c>
      <c r="N766" s="108" t="s">
        <v>2811</v>
      </c>
    </row>
    <row r="767" spans="1:14">
      <c r="A767" s="108">
        <v>760</v>
      </c>
      <c r="B767" s="108">
        <f t="shared" si="87"/>
        <v>368</v>
      </c>
      <c r="C767" s="108">
        <f t="shared" si="88"/>
        <v>0</v>
      </c>
      <c r="F767" s="108" t="s">
        <v>2812</v>
      </c>
      <c r="G767" s="108">
        <v>23</v>
      </c>
      <c r="H767" s="108">
        <v>57</v>
      </c>
      <c r="I767" s="108">
        <v>49.8</v>
      </c>
      <c r="J767" s="108">
        <v>-32</v>
      </c>
      <c r="K767" s="108">
        <v>-35</v>
      </c>
      <c r="L767" s="108">
        <v>-28</v>
      </c>
      <c r="M767" s="108" t="s">
        <v>2813</v>
      </c>
      <c r="N767" s="108" t="s">
        <v>2602</v>
      </c>
    </row>
    <row r="768" spans="1:14">
      <c r="A768" s="108">
        <v>761</v>
      </c>
      <c r="B768" s="108">
        <f t="shared" si="87"/>
        <v>368</v>
      </c>
      <c r="C768" s="108">
        <f t="shared" si="88"/>
        <v>0</v>
      </c>
      <c r="F768" s="108" t="s">
        <v>2814</v>
      </c>
      <c r="G768" s="108">
        <v>0</v>
      </c>
      <c r="H768" s="108">
        <v>3</v>
      </c>
      <c r="I768" s="108">
        <v>14.9</v>
      </c>
      <c r="J768" s="108">
        <v>16</v>
      </c>
      <c r="K768" s="108">
        <v>8</v>
      </c>
      <c r="L768" s="108">
        <v>43</v>
      </c>
      <c r="M768" s="108" t="s">
        <v>2815</v>
      </c>
      <c r="N768" s="108" t="s">
        <v>2816</v>
      </c>
    </row>
    <row r="769" spans="1:14">
      <c r="A769" s="108">
        <v>762</v>
      </c>
      <c r="B769" s="108">
        <f t="shared" si="87"/>
        <v>368</v>
      </c>
      <c r="C769" s="108">
        <f t="shared" si="88"/>
        <v>0</v>
      </c>
      <c r="F769" s="108" t="s">
        <v>2817</v>
      </c>
      <c r="G769" s="108">
        <v>0</v>
      </c>
      <c r="H769" s="108">
        <v>3</v>
      </c>
      <c r="I769" s="108">
        <v>58.9</v>
      </c>
      <c r="J769" s="108">
        <v>20</v>
      </c>
      <c r="K769" s="108">
        <v>45</v>
      </c>
      <c r="L769" s="108">
        <v>8</v>
      </c>
      <c r="M769" s="108" t="s">
        <v>2818</v>
      </c>
      <c r="N769" s="108" t="s">
        <v>2570</v>
      </c>
    </row>
    <row r="770" spans="1:14">
      <c r="A770" s="108">
        <v>763</v>
      </c>
      <c r="B770" s="108">
        <f t="shared" si="87"/>
        <v>368</v>
      </c>
      <c r="C770" s="108">
        <f t="shared" si="88"/>
        <v>0</v>
      </c>
      <c r="F770" s="108" t="s">
        <v>623</v>
      </c>
      <c r="M770" s="108" t="s">
        <v>2819</v>
      </c>
      <c r="N770" s="108" t="s">
        <v>2820</v>
      </c>
    </row>
    <row r="771" spans="1:14">
      <c r="A771" s="108">
        <v>764</v>
      </c>
      <c r="B771" s="108">
        <f t="shared" si="87"/>
        <v>368</v>
      </c>
      <c r="C771" s="108">
        <f t="shared" si="88"/>
        <v>0</v>
      </c>
      <c r="F771" s="108" t="s">
        <v>2821</v>
      </c>
      <c r="G771" s="108">
        <v>15</v>
      </c>
      <c r="H771" s="108">
        <v>44</v>
      </c>
      <c r="I771" s="108">
        <v>16.100000000000001</v>
      </c>
      <c r="J771" s="108">
        <v>6</v>
      </c>
      <c r="K771" s="108">
        <v>25</v>
      </c>
      <c r="L771" s="108">
        <v>32</v>
      </c>
      <c r="M771" s="108" t="s">
        <v>2822</v>
      </c>
      <c r="N771" s="108" t="s">
        <v>2823</v>
      </c>
    </row>
    <row r="772" spans="1:14">
      <c r="A772" s="108">
        <v>765</v>
      </c>
      <c r="B772" s="108">
        <f t="shared" si="87"/>
        <v>368</v>
      </c>
      <c r="C772" s="108">
        <f t="shared" si="88"/>
        <v>0</v>
      </c>
      <c r="F772" s="108" t="s">
        <v>2824</v>
      </c>
      <c r="G772" s="108">
        <v>15</v>
      </c>
      <c r="H772" s="108">
        <v>46</v>
      </c>
      <c r="I772" s="108">
        <v>11.3</v>
      </c>
      <c r="J772" s="108">
        <v>15</v>
      </c>
      <c r="K772" s="108">
        <v>25</v>
      </c>
      <c r="L772" s="108">
        <v>19</v>
      </c>
      <c r="M772" s="108" t="s">
        <v>2825</v>
      </c>
      <c r="N772" s="108" t="s">
        <v>2826</v>
      </c>
    </row>
    <row r="773" spans="1:14">
      <c r="A773" s="108">
        <v>766</v>
      </c>
      <c r="B773" s="108">
        <f t="shared" si="87"/>
        <v>368</v>
      </c>
      <c r="C773" s="108">
        <f t="shared" si="88"/>
        <v>0</v>
      </c>
      <c r="F773" s="108" t="s">
        <v>2827</v>
      </c>
      <c r="G773" s="108">
        <v>15</v>
      </c>
      <c r="H773" s="108">
        <v>56</v>
      </c>
      <c r="I773" s="108">
        <v>27.2</v>
      </c>
      <c r="J773" s="108">
        <v>15</v>
      </c>
      <c r="K773" s="108">
        <v>39</v>
      </c>
      <c r="L773" s="108">
        <v>42</v>
      </c>
      <c r="M773" s="108" t="s">
        <v>2828</v>
      </c>
      <c r="N773" s="108" t="s">
        <v>2829</v>
      </c>
    </row>
    <row r="774" spans="1:14">
      <c r="A774" s="108">
        <v>767</v>
      </c>
      <c r="B774" s="108">
        <f t="shared" ref="B774:B837" si="89">IF(B773=F774,A774,B773)</f>
        <v>368</v>
      </c>
      <c r="C774" s="108">
        <f t="shared" ref="C774:C837" si="90" xml:space="preserve"> IF(C773=F774,A774,C773)</f>
        <v>0</v>
      </c>
      <c r="F774" s="108" t="s">
        <v>2830</v>
      </c>
      <c r="G774" s="108">
        <v>15</v>
      </c>
      <c r="H774" s="108">
        <v>34</v>
      </c>
      <c r="I774" s="108">
        <v>48.1</v>
      </c>
      <c r="J774" s="108">
        <v>10</v>
      </c>
      <c r="K774" s="108">
        <v>32</v>
      </c>
      <c r="L774" s="108">
        <v>20</v>
      </c>
      <c r="M774" s="108" t="s">
        <v>2831</v>
      </c>
      <c r="N774" s="108" t="s">
        <v>2832</v>
      </c>
    </row>
    <row r="775" spans="1:14">
      <c r="A775" s="108">
        <v>768</v>
      </c>
      <c r="B775" s="108">
        <f t="shared" si="89"/>
        <v>368</v>
      </c>
      <c r="C775" s="108">
        <f t="shared" si="90"/>
        <v>0</v>
      </c>
      <c r="F775" s="108" t="s">
        <v>2833</v>
      </c>
      <c r="G775" s="108">
        <v>15</v>
      </c>
      <c r="H775" s="108">
        <v>50</v>
      </c>
      <c r="I775" s="108">
        <v>49</v>
      </c>
      <c r="J775" s="108">
        <v>4</v>
      </c>
      <c r="K775" s="108">
        <v>28</v>
      </c>
      <c r="L775" s="108">
        <v>40</v>
      </c>
      <c r="M775" s="108" t="s">
        <v>2834</v>
      </c>
      <c r="N775" s="108" t="s">
        <v>2835</v>
      </c>
    </row>
    <row r="776" spans="1:14">
      <c r="A776" s="108">
        <v>769</v>
      </c>
      <c r="B776" s="108">
        <f t="shared" si="89"/>
        <v>368</v>
      </c>
      <c r="C776" s="108">
        <f t="shared" si="90"/>
        <v>0</v>
      </c>
      <c r="F776" s="108" t="s">
        <v>2836</v>
      </c>
      <c r="G776" s="108">
        <v>18</v>
      </c>
      <c r="H776" s="108">
        <v>21</v>
      </c>
      <c r="I776" s="108">
        <v>18.600000000000001</v>
      </c>
      <c r="J776" s="108">
        <v>-2</v>
      </c>
      <c r="K776" s="108">
        <v>-53</v>
      </c>
      <c r="L776" s="108">
        <v>-56</v>
      </c>
      <c r="M776" s="108" t="s">
        <v>2837</v>
      </c>
      <c r="N776" s="108" t="s">
        <v>2838</v>
      </c>
    </row>
    <row r="777" spans="1:14">
      <c r="A777" s="108">
        <v>770</v>
      </c>
      <c r="B777" s="108">
        <f t="shared" si="89"/>
        <v>368</v>
      </c>
      <c r="C777" s="108">
        <f t="shared" si="90"/>
        <v>0</v>
      </c>
      <c r="F777" s="108" t="s">
        <v>2839</v>
      </c>
      <c r="G777" s="108">
        <v>18</v>
      </c>
      <c r="H777" s="108">
        <v>56</v>
      </c>
      <c r="I777" s="108">
        <v>13.2</v>
      </c>
      <c r="J777" s="108">
        <v>4</v>
      </c>
      <c r="K777" s="108">
        <v>12</v>
      </c>
      <c r="L777" s="108">
        <v>13</v>
      </c>
      <c r="M777" s="108" t="s">
        <v>2840</v>
      </c>
      <c r="N777" s="108" t="s">
        <v>2841</v>
      </c>
    </row>
    <row r="778" spans="1:14">
      <c r="A778" s="108">
        <v>771</v>
      </c>
      <c r="B778" s="108">
        <f t="shared" si="89"/>
        <v>368</v>
      </c>
      <c r="C778" s="108">
        <f t="shared" si="90"/>
        <v>0</v>
      </c>
      <c r="F778" s="108" t="s">
        <v>2842</v>
      </c>
      <c r="G778" s="108">
        <v>15</v>
      </c>
      <c r="H778" s="108">
        <v>41</v>
      </c>
      <c r="I778" s="108">
        <v>33.1</v>
      </c>
      <c r="J778" s="108">
        <v>19</v>
      </c>
      <c r="K778" s="108">
        <v>40</v>
      </c>
      <c r="L778" s="108">
        <v>13</v>
      </c>
      <c r="M778" s="108" t="s">
        <v>2843</v>
      </c>
      <c r="N778" s="108" t="s">
        <v>2844</v>
      </c>
    </row>
    <row r="779" spans="1:14">
      <c r="A779" s="108">
        <v>772</v>
      </c>
      <c r="B779" s="108">
        <f t="shared" si="89"/>
        <v>368</v>
      </c>
      <c r="C779" s="108">
        <f t="shared" si="90"/>
        <v>0</v>
      </c>
      <c r="F779" s="108" t="s">
        <v>2845</v>
      </c>
      <c r="G779" s="108">
        <v>15</v>
      </c>
      <c r="H779" s="108">
        <v>48</v>
      </c>
      <c r="I779" s="108">
        <v>44.4</v>
      </c>
      <c r="J779" s="108">
        <v>18</v>
      </c>
      <c r="K779" s="108">
        <v>8</v>
      </c>
      <c r="L779" s="108">
        <v>30</v>
      </c>
      <c r="M779" s="108" t="s">
        <v>2846</v>
      </c>
      <c r="N779" s="108" t="s">
        <v>2847</v>
      </c>
    </row>
    <row r="780" spans="1:14">
      <c r="A780" s="108">
        <v>773</v>
      </c>
      <c r="B780" s="108">
        <f t="shared" si="89"/>
        <v>368</v>
      </c>
      <c r="C780" s="108">
        <f t="shared" si="90"/>
        <v>0</v>
      </c>
      <c r="F780" s="108" t="s">
        <v>2848</v>
      </c>
      <c r="G780" s="108">
        <v>15</v>
      </c>
      <c r="H780" s="108">
        <v>49</v>
      </c>
      <c r="I780" s="108">
        <v>37.200000000000003</v>
      </c>
      <c r="J780" s="108">
        <v>3</v>
      </c>
      <c r="K780" s="108">
        <v>25</v>
      </c>
      <c r="L780" s="108">
        <v>49</v>
      </c>
      <c r="M780" s="108" t="s">
        <v>2849</v>
      </c>
      <c r="N780" s="108" t="s">
        <v>2850</v>
      </c>
    </row>
    <row r="781" spans="1:14">
      <c r="A781" s="108">
        <v>774</v>
      </c>
      <c r="B781" s="108">
        <f t="shared" si="89"/>
        <v>368</v>
      </c>
      <c r="C781" s="108">
        <f t="shared" si="90"/>
        <v>0</v>
      </c>
      <c r="F781" s="108" t="s">
        <v>2851</v>
      </c>
      <c r="G781" s="108">
        <v>17</v>
      </c>
      <c r="H781" s="108">
        <v>20</v>
      </c>
      <c r="I781" s="108">
        <v>49.7</v>
      </c>
      <c r="J781" s="108">
        <v>-12</v>
      </c>
      <c r="K781" s="108">
        <v>-50</v>
      </c>
      <c r="L781" s="108">
        <v>-49</v>
      </c>
      <c r="M781" s="108" t="s">
        <v>2852</v>
      </c>
      <c r="N781" s="108" t="s">
        <v>2853</v>
      </c>
    </row>
    <row r="782" spans="1:14">
      <c r="A782" s="108">
        <v>775</v>
      </c>
      <c r="B782" s="108">
        <f t="shared" si="89"/>
        <v>368</v>
      </c>
      <c r="C782" s="108">
        <f t="shared" si="90"/>
        <v>0</v>
      </c>
      <c r="F782" s="108" t="s">
        <v>2854</v>
      </c>
      <c r="G782" s="108">
        <v>17</v>
      </c>
      <c r="H782" s="108">
        <v>37</v>
      </c>
      <c r="I782" s="108">
        <v>35.200000000000003</v>
      </c>
      <c r="J782" s="108">
        <v>-15</v>
      </c>
      <c r="K782" s="108">
        <v>-23</v>
      </c>
      <c r="L782" s="108">
        <v>-55</v>
      </c>
      <c r="M782" s="108" t="s">
        <v>2855</v>
      </c>
      <c r="N782" s="108" t="s">
        <v>2856</v>
      </c>
    </row>
    <row r="783" spans="1:14">
      <c r="A783" s="108">
        <v>776</v>
      </c>
      <c r="B783" s="108">
        <f t="shared" si="89"/>
        <v>368</v>
      </c>
      <c r="C783" s="108">
        <f t="shared" si="90"/>
        <v>0</v>
      </c>
      <c r="F783" s="108" t="s">
        <v>2857</v>
      </c>
      <c r="G783" s="108">
        <v>15</v>
      </c>
      <c r="H783" s="108">
        <v>51</v>
      </c>
      <c r="I783" s="108">
        <v>15.9</v>
      </c>
      <c r="J783" s="108">
        <v>20</v>
      </c>
      <c r="K783" s="108">
        <v>58</v>
      </c>
      <c r="L783" s="108">
        <v>41</v>
      </c>
      <c r="M783" s="108" t="s">
        <v>2858</v>
      </c>
      <c r="N783" s="108" t="s">
        <v>2859</v>
      </c>
    </row>
    <row r="784" spans="1:14">
      <c r="A784" s="108">
        <v>777</v>
      </c>
      <c r="B784" s="108">
        <f t="shared" si="89"/>
        <v>368</v>
      </c>
      <c r="C784" s="108">
        <f t="shared" si="90"/>
        <v>0</v>
      </c>
      <c r="F784" s="108" t="s">
        <v>488</v>
      </c>
      <c r="M784" s="108" t="s">
        <v>2860</v>
      </c>
      <c r="N784" s="108" t="s">
        <v>486</v>
      </c>
    </row>
    <row r="785" spans="1:14">
      <c r="A785" s="108">
        <v>778</v>
      </c>
      <c r="B785" s="108">
        <f t="shared" si="89"/>
        <v>368</v>
      </c>
      <c r="C785" s="108">
        <f t="shared" si="90"/>
        <v>0</v>
      </c>
      <c r="F785" s="108" t="s">
        <v>2861</v>
      </c>
      <c r="G785" s="108">
        <v>18</v>
      </c>
      <c r="H785" s="108">
        <v>0</v>
      </c>
      <c r="I785" s="108">
        <v>38.700000000000003</v>
      </c>
      <c r="J785" s="108">
        <v>2</v>
      </c>
      <c r="K785" s="108">
        <v>55</v>
      </c>
      <c r="L785" s="108">
        <v>54</v>
      </c>
      <c r="M785" s="108" t="s">
        <v>2862</v>
      </c>
      <c r="N785" s="108" t="s">
        <v>2863</v>
      </c>
    </row>
    <row r="786" spans="1:14">
      <c r="A786" s="108">
        <v>779</v>
      </c>
      <c r="B786" s="108">
        <f t="shared" si="89"/>
        <v>368</v>
      </c>
      <c r="C786" s="108">
        <f t="shared" si="90"/>
        <v>0</v>
      </c>
      <c r="F786" s="108" t="s">
        <v>2864</v>
      </c>
      <c r="G786" s="108">
        <v>18</v>
      </c>
      <c r="H786" s="108">
        <v>1</v>
      </c>
      <c r="I786" s="108">
        <v>45.2</v>
      </c>
      <c r="J786" s="108">
        <v>1</v>
      </c>
      <c r="K786" s="108">
        <v>18</v>
      </c>
      <c r="L786" s="108">
        <v>18</v>
      </c>
      <c r="M786" s="108" t="s">
        <v>2865</v>
      </c>
      <c r="N786" s="108" t="s">
        <v>2866</v>
      </c>
    </row>
    <row r="787" spans="1:14">
      <c r="A787" s="108">
        <v>780</v>
      </c>
      <c r="B787" s="108">
        <f t="shared" si="89"/>
        <v>368</v>
      </c>
      <c r="C787" s="108">
        <f t="shared" si="90"/>
        <v>0</v>
      </c>
      <c r="F787" s="108" t="s">
        <v>2867</v>
      </c>
      <c r="G787" s="108">
        <v>18</v>
      </c>
      <c r="H787" s="108">
        <v>5</v>
      </c>
      <c r="I787" s="108">
        <v>27.3</v>
      </c>
      <c r="J787" s="108">
        <v>2</v>
      </c>
      <c r="K787" s="108">
        <v>3</v>
      </c>
      <c r="L787" s="108">
        <v>0</v>
      </c>
      <c r="M787" s="108" t="s">
        <v>2868</v>
      </c>
      <c r="N787" s="108" t="s">
        <v>2869</v>
      </c>
    </row>
    <row r="788" spans="1:14">
      <c r="A788" s="108">
        <v>781</v>
      </c>
      <c r="B788" s="108">
        <f t="shared" si="89"/>
        <v>368</v>
      </c>
      <c r="C788" s="108">
        <f t="shared" si="90"/>
        <v>0</v>
      </c>
      <c r="F788" s="108" t="s">
        <v>2870</v>
      </c>
      <c r="G788" s="108">
        <v>17</v>
      </c>
      <c r="H788" s="108">
        <v>34</v>
      </c>
      <c r="I788" s="108">
        <v>56.1</v>
      </c>
      <c r="J788" s="108">
        <v>12</v>
      </c>
      <c r="K788" s="108">
        <v>33</v>
      </c>
      <c r="L788" s="108">
        <v>36</v>
      </c>
      <c r="M788" s="108" t="s">
        <v>2871</v>
      </c>
      <c r="N788" s="108" t="s">
        <v>2872</v>
      </c>
    </row>
    <row r="789" spans="1:14">
      <c r="A789" s="108">
        <v>782</v>
      </c>
      <c r="B789" s="108">
        <f t="shared" si="89"/>
        <v>368</v>
      </c>
      <c r="C789" s="108">
        <f t="shared" si="90"/>
        <v>0</v>
      </c>
      <c r="F789" s="108" t="s">
        <v>2873</v>
      </c>
      <c r="G789" s="108">
        <v>17</v>
      </c>
      <c r="H789" s="108">
        <v>43</v>
      </c>
      <c r="I789" s="108">
        <v>28.4</v>
      </c>
      <c r="J789" s="108">
        <v>4</v>
      </c>
      <c r="K789" s="108">
        <v>34</v>
      </c>
      <c r="L789" s="108">
        <v>2</v>
      </c>
      <c r="M789" s="108" t="s">
        <v>2874</v>
      </c>
      <c r="N789" s="108" t="s">
        <v>2875</v>
      </c>
    </row>
    <row r="790" spans="1:14">
      <c r="A790" s="108">
        <v>783</v>
      </c>
      <c r="B790" s="108">
        <f t="shared" si="89"/>
        <v>368</v>
      </c>
      <c r="C790" s="108">
        <f t="shared" si="90"/>
        <v>0</v>
      </c>
      <c r="F790" s="108" t="s">
        <v>2876</v>
      </c>
      <c r="G790" s="108">
        <v>17</v>
      </c>
      <c r="H790" s="108">
        <v>47</v>
      </c>
      <c r="I790" s="108">
        <v>53.6</v>
      </c>
      <c r="J790" s="108">
        <v>2</v>
      </c>
      <c r="K790" s="108">
        <v>42</v>
      </c>
      <c r="L790" s="108">
        <v>26</v>
      </c>
      <c r="M790" s="108" t="s">
        <v>2877</v>
      </c>
      <c r="N790" s="108" t="s">
        <v>2878</v>
      </c>
    </row>
    <row r="791" spans="1:14">
      <c r="A791" s="108">
        <v>784</v>
      </c>
      <c r="B791" s="108">
        <f t="shared" si="89"/>
        <v>368</v>
      </c>
      <c r="C791" s="108">
        <f t="shared" si="90"/>
        <v>0</v>
      </c>
      <c r="F791" s="108" t="s">
        <v>2879</v>
      </c>
      <c r="G791" s="108">
        <v>16</v>
      </c>
      <c r="H791" s="108">
        <v>14</v>
      </c>
      <c r="I791" s="108">
        <v>20.7</v>
      </c>
      <c r="J791" s="108">
        <v>-3</v>
      </c>
      <c r="K791" s="108">
        <v>-41</v>
      </c>
      <c r="L791" s="108">
        <v>-40</v>
      </c>
      <c r="M791" s="108" t="s">
        <v>2880</v>
      </c>
      <c r="N791" s="108" t="s">
        <v>2881</v>
      </c>
    </row>
    <row r="792" spans="1:14">
      <c r="A792" s="108">
        <v>785</v>
      </c>
      <c r="B792" s="108">
        <f t="shared" si="89"/>
        <v>368</v>
      </c>
      <c r="C792" s="108">
        <f t="shared" si="90"/>
        <v>0</v>
      </c>
      <c r="F792" s="108" t="s">
        <v>2882</v>
      </c>
      <c r="G792" s="108">
        <v>16</v>
      </c>
      <c r="H792" s="108">
        <v>18</v>
      </c>
      <c r="I792" s="108">
        <v>19.3</v>
      </c>
      <c r="J792" s="108">
        <v>-4</v>
      </c>
      <c r="K792" s="108">
        <v>-41</v>
      </c>
      <c r="L792" s="108">
        <v>-33</v>
      </c>
      <c r="M792" s="108" t="s">
        <v>2883</v>
      </c>
      <c r="N792" s="108" t="s">
        <v>2884</v>
      </c>
    </row>
    <row r="793" spans="1:14">
      <c r="A793" s="108">
        <v>786</v>
      </c>
      <c r="B793" s="108">
        <f t="shared" si="89"/>
        <v>368</v>
      </c>
      <c r="C793" s="108">
        <f t="shared" si="90"/>
        <v>0</v>
      </c>
      <c r="F793" s="108" t="s">
        <v>2885</v>
      </c>
      <c r="G793" s="108">
        <v>16</v>
      </c>
      <c r="H793" s="108">
        <v>37</v>
      </c>
      <c r="I793" s="108">
        <v>9.6</v>
      </c>
      <c r="J793" s="108">
        <v>-10</v>
      </c>
      <c r="K793" s="108">
        <v>-34</v>
      </c>
      <c r="L793" s="108">
        <v>-2</v>
      </c>
      <c r="M793" s="108" t="s">
        <v>2886</v>
      </c>
      <c r="N793" s="108" t="s">
        <v>2887</v>
      </c>
    </row>
    <row r="794" spans="1:14">
      <c r="A794" s="108">
        <v>787</v>
      </c>
      <c r="B794" s="108">
        <f t="shared" si="89"/>
        <v>368</v>
      </c>
      <c r="C794" s="108">
        <f t="shared" si="90"/>
        <v>0</v>
      </c>
      <c r="F794" s="108" t="s">
        <v>2888</v>
      </c>
      <c r="G794" s="108">
        <v>17</v>
      </c>
      <c r="H794" s="108">
        <v>10</v>
      </c>
      <c r="I794" s="108">
        <v>22.7</v>
      </c>
      <c r="J794" s="108">
        <v>-15</v>
      </c>
      <c r="K794" s="108">
        <v>-43</v>
      </c>
      <c r="L794" s="108">
        <v>-30</v>
      </c>
      <c r="M794" s="108" t="s">
        <v>2889</v>
      </c>
      <c r="N794" s="108" t="s">
        <v>2890</v>
      </c>
    </row>
    <row r="795" spans="1:14">
      <c r="A795" s="108">
        <v>788</v>
      </c>
      <c r="B795" s="108">
        <f t="shared" si="89"/>
        <v>368</v>
      </c>
      <c r="C795" s="108">
        <f t="shared" si="90"/>
        <v>0</v>
      </c>
      <c r="F795" s="108" t="s">
        <v>2891</v>
      </c>
      <c r="G795" s="108">
        <v>17</v>
      </c>
      <c r="H795" s="108">
        <v>22</v>
      </c>
      <c r="I795" s="108">
        <v>0.6</v>
      </c>
      <c r="J795" s="108">
        <v>-24</v>
      </c>
      <c r="K795" s="108">
        <v>-59</v>
      </c>
      <c r="L795" s="108">
        <v>-58</v>
      </c>
      <c r="M795" s="108" t="s">
        <v>2892</v>
      </c>
      <c r="N795" s="108" t="s">
        <v>2893</v>
      </c>
    </row>
    <row r="796" spans="1:14">
      <c r="A796" s="108">
        <v>789</v>
      </c>
      <c r="B796" s="108">
        <f t="shared" si="89"/>
        <v>368</v>
      </c>
      <c r="C796" s="108">
        <f t="shared" si="90"/>
        <v>0</v>
      </c>
      <c r="F796" s="108" t="s">
        <v>2894</v>
      </c>
      <c r="G796" s="108">
        <v>16</v>
      </c>
      <c r="H796" s="108">
        <v>54</v>
      </c>
      <c r="I796" s="108">
        <v>0.5</v>
      </c>
      <c r="J796" s="108">
        <v>10</v>
      </c>
      <c r="K796" s="108">
        <v>9</v>
      </c>
      <c r="L796" s="108">
        <v>55</v>
      </c>
      <c r="M796" s="108" t="s">
        <v>2895</v>
      </c>
      <c r="N796" s="108" t="s">
        <v>2896</v>
      </c>
    </row>
    <row r="797" spans="1:14">
      <c r="A797" s="108">
        <v>790</v>
      </c>
      <c r="B797" s="108">
        <f t="shared" si="89"/>
        <v>368</v>
      </c>
      <c r="C797" s="108">
        <f t="shared" si="90"/>
        <v>0</v>
      </c>
      <c r="F797" s="108" t="s">
        <v>2897</v>
      </c>
      <c r="G797" s="108">
        <v>16</v>
      </c>
      <c r="H797" s="108">
        <v>57</v>
      </c>
      <c r="I797" s="108">
        <v>40.1</v>
      </c>
      <c r="J797" s="108">
        <v>9</v>
      </c>
      <c r="K797" s="108">
        <v>22</v>
      </c>
      <c r="L797" s="108">
        <v>30</v>
      </c>
      <c r="M797" s="108" t="s">
        <v>2898</v>
      </c>
      <c r="N797" s="108" t="s">
        <v>2899</v>
      </c>
    </row>
    <row r="798" spans="1:14">
      <c r="A798" s="108">
        <v>791</v>
      </c>
      <c r="B798" s="108">
        <f t="shared" si="89"/>
        <v>368</v>
      </c>
      <c r="C798" s="108">
        <f t="shared" si="90"/>
        <v>0</v>
      </c>
      <c r="F798" s="108" t="s">
        <v>2900</v>
      </c>
      <c r="G798" s="108">
        <v>16</v>
      </c>
      <c r="H798" s="108">
        <v>30</v>
      </c>
      <c r="I798" s="108">
        <v>54.8</v>
      </c>
      <c r="J798" s="108">
        <v>1</v>
      </c>
      <c r="K798" s="108">
        <v>59</v>
      </c>
      <c r="L798" s="108">
        <v>2</v>
      </c>
      <c r="M798" s="108" t="s">
        <v>2901</v>
      </c>
      <c r="N798" s="108" t="s">
        <v>2902</v>
      </c>
    </row>
    <row r="799" spans="1:14">
      <c r="A799" s="108">
        <v>792</v>
      </c>
      <c r="B799" s="108">
        <f t="shared" si="89"/>
        <v>368</v>
      </c>
      <c r="C799" s="108">
        <f t="shared" si="90"/>
        <v>0</v>
      </c>
      <c r="F799" s="108" t="s">
        <v>2903</v>
      </c>
      <c r="G799" s="108">
        <v>17</v>
      </c>
      <c r="H799" s="108">
        <v>59</v>
      </c>
      <c r="I799" s="108">
        <v>1.6</v>
      </c>
      <c r="J799" s="108">
        <v>-9</v>
      </c>
      <c r="K799" s="108">
        <v>-46</v>
      </c>
      <c r="L799" s="108">
        <v>-25</v>
      </c>
      <c r="M799" s="108" t="s">
        <v>2904</v>
      </c>
      <c r="N799" s="108" t="s">
        <v>2905</v>
      </c>
    </row>
    <row r="800" spans="1:14">
      <c r="A800" s="108">
        <v>793</v>
      </c>
      <c r="B800" s="108">
        <f t="shared" si="89"/>
        <v>368</v>
      </c>
      <c r="C800" s="108">
        <f t="shared" si="90"/>
        <v>0</v>
      </c>
      <c r="F800" s="108" t="s">
        <v>2906</v>
      </c>
      <c r="G800" s="108">
        <v>16</v>
      </c>
      <c r="H800" s="108">
        <v>25</v>
      </c>
      <c r="I800" s="108">
        <v>35.200000000000003</v>
      </c>
      <c r="J800" s="108">
        <v>-23</v>
      </c>
      <c r="K800" s="108">
        <v>-26</v>
      </c>
      <c r="L800" s="108">
        <v>-50</v>
      </c>
      <c r="M800" s="108" t="s">
        <v>2907</v>
      </c>
      <c r="N800" s="108" t="s">
        <v>2908</v>
      </c>
    </row>
    <row r="801" spans="1:14">
      <c r="A801" s="108">
        <v>794</v>
      </c>
      <c r="B801" s="108">
        <f t="shared" si="89"/>
        <v>368</v>
      </c>
      <c r="C801" s="108">
        <f t="shared" si="90"/>
        <v>0</v>
      </c>
      <c r="F801" s="108" t="s">
        <v>2909</v>
      </c>
      <c r="G801" s="108">
        <v>18</v>
      </c>
      <c r="H801" s="108">
        <v>3</v>
      </c>
      <c r="I801" s="108">
        <v>4.9000000000000004</v>
      </c>
      <c r="J801" s="108">
        <v>-8</v>
      </c>
      <c r="K801" s="108">
        <v>-10</v>
      </c>
      <c r="L801" s="108">
        <v>-49</v>
      </c>
      <c r="M801" s="108" t="s">
        <v>2910</v>
      </c>
      <c r="N801" s="108" t="s">
        <v>2911</v>
      </c>
    </row>
    <row r="802" spans="1:14">
      <c r="A802" s="108">
        <v>795</v>
      </c>
      <c r="B802" s="108">
        <f t="shared" si="89"/>
        <v>368</v>
      </c>
      <c r="C802" s="108">
        <f t="shared" si="90"/>
        <v>0</v>
      </c>
      <c r="F802" s="108" t="s">
        <v>2912</v>
      </c>
      <c r="G802" s="108">
        <v>16</v>
      </c>
      <c r="H802" s="108">
        <v>27</v>
      </c>
      <c r="I802" s="108">
        <v>48.2</v>
      </c>
      <c r="J802" s="108">
        <v>-8</v>
      </c>
      <c r="K802" s="108">
        <v>-22</v>
      </c>
      <c r="L802" s="108">
        <v>-18</v>
      </c>
      <c r="M802" s="108" t="s">
        <v>2913</v>
      </c>
      <c r="N802" s="108" t="s">
        <v>2914</v>
      </c>
    </row>
    <row r="803" spans="1:14">
      <c r="A803" s="108">
        <v>796</v>
      </c>
      <c r="B803" s="108">
        <f t="shared" si="89"/>
        <v>368</v>
      </c>
      <c r="C803" s="108">
        <f t="shared" si="90"/>
        <v>0</v>
      </c>
      <c r="F803" s="108" t="s">
        <v>687</v>
      </c>
      <c r="M803" s="108" t="s">
        <v>2915</v>
      </c>
      <c r="N803" s="108" t="s">
        <v>685</v>
      </c>
    </row>
    <row r="804" spans="1:14">
      <c r="A804" s="108">
        <v>797</v>
      </c>
      <c r="B804" s="108">
        <f t="shared" si="89"/>
        <v>368</v>
      </c>
      <c r="C804" s="108">
        <f t="shared" si="90"/>
        <v>0</v>
      </c>
      <c r="F804" s="108" t="s">
        <v>2916</v>
      </c>
      <c r="G804" s="108">
        <v>14</v>
      </c>
      <c r="H804" s="108">
        <v>46</v>
      </c>
      <c r="I804" s="108">
        <v>14.9</v>
      </c>
      <c r="J804" s="108">
        <v>1</v>
      </c>
      <c r="K804" s="108">
        <v>53</v>
      </c>
      <c r="L804" s="108">
        <v>34</v>
      </c>
      <c r="M804" s="108" t="s">
        <v>2917</v>
      </c>
      <c r="N804" s="108" t="s">
        <v>2918</v>
      </c>
    </row>
    <row r="805" spans="1:14">
      <c r="A805" s="108">
        <v>798</v>
      </c>
      <c r="B805" s="108">
        <f t="shared" si="89"/>
        <v>368</v>
      </c>
      <c r="C805" s="108">
        <f t="shared" si="90"/>
        <v>0</v>
      </c>
      <c r="F805" s="108" t="s">
        <v>2919</v>
      </c>
      <c r="G805" s="108">
        <v>13</v>
      </c>
      <c r="H805" s="108">
        <v>25</v>
      </c>
      <c r="I805" s="108">
        <v>11.6</v>
      </c>
      <c r="J805" s="108">
        <v>-11</v>
      </c>
      <c r="K805" s="108">
        <v>-9</v>
      </c>
      <c r="L805" s="108">
        <v>-41</v>
      </c>
      <c r="M805" s="108" t="s">
        <v>2920</v>
      </c>
      <c r="N805" s="108" t="s">
        <v>2921</v>
      </c>
    </row>
    <row r="806" spans="1:14">
      <c r="A806" s="108">
        <v>799</v>
      </c>
      <c r="B806" s="108">
        <f t="shared" si="89"/>
        <v>368</v>
      </c>
      <c r="C806" s="108">
        <f t="shared" si="90"/>
        <v>0</v>
      </c>
      <c r="F806" s="108" t="s">
        <v>2922</v>
      </c>
      <c r="G806" s="108">
        <v>11</v>
      </c>
      <c r="H806" s="108">
        <v>50</v>
      </c>
      <c r="I806" s="108">
        <v>41.7</v>
      </c>
      <c r="J806" s="108">
        <v>1</v>
      </c>
      <c r="K806" s="108">
        <v>45</v>
      </c>
      <c r="L806" s="108">
        <v>53</v>
      </c>
      <c r="M806" s="108" t="s">
        <v>2923</v>
      </c>
      <c r="N806" s="108" t="s">
        <v>2924</v>
      </c>
    </row>
    <row r="807" spans="1:14">
      <c r="A807" s="108">
        <v>800</v>
      </c>
      <c r="B807" s="108">
        <f t="shared" si="89"/>
        <v>368</v>
      </c>
      <c r="C807" s="108">
        <f t="shared" si="90"/>
        <v>0</v>
      </c>
      <c r="F807" s="108" t="s">
        <v>2925</v>
      </c>
      <c r="G807" s="108">
        <v>12</v>
      </c>
      <c r="H807" s="108">
        <v>41</v>
      </c>
      <c r="I807" s="108">
        <v>39.6</v>
      </c>
      <c r="J807" s="108">
        <v>-1</v>
      </c>
      <c r="K807" s="108">
        <v>-26</v>
      </c>
      <c r="L807" s="108">
        <v>-58</v>
      </c>
      <c r="M807" s="108" t="s">
        <v>2926</v>
      </c>
      <c r="N807" s="108" t="s">
        <v>2927</v>
      </c>
    </row>
    <row r="808" spans="1:14">
      <c r="A808" s="108">
        <v>801</v>
      </c>
      <c r="B808" s="108">
        <f t="shared" si="89"/>
        <v>368</v>
      </c>
      <c r="C808" s="108">
        <f t="shared" si="90"/>
        <v>0</v>
      </c>
      <c r="F808" s="108" t="s">
        <v>2928</v>
      </c>
      <c r="G808" s="108">
        <v>12</v>
      </c>
      <c r="H808" s="108">
        <v>55</v>
      </c>
      <c r="I808" s="108">
        <v>36.200000000000003</v>
      </c>
      <c r="J808" s="108">
        <v>3</v>
      </c>
      <c r="K808" s="108">
        <v>23</v>
      </c>
      <c r="L808" s="108">
        <v>51</v>
      </c>
      <c r="M808" s="108" t="s">
        <v>2929</v>
      </c>
      <c r="N808" s="108" t="s">
        <v>2930</v>
      </c>
    </row>
    <row r="809" spans="1:14">
      <c r="A809" s="108">
        <v>802</v>
      </c>
      <c r="B809" s="108">
        <f t="shared" si="89"/>
        <v>368</v>
      </c>
      <c r="C809" s="108">
        <f t="shared" si="90"/>
        <v>0</v>
      </c>
      <c r="F809" s="108" t="s">
        <v>2931</v>
      </c>
      <c r="G809" s="108">
        <v>13</v>
      </c>
      <c r="H809" s="108">
        <v>2</v>
      </c>
      <c r="I809" s="108">
        <v>10.6</v>
      </c>
      <c r="J809" s="108">
        <v>10</v>
      </c>
      <c r="K809" s="108">
        <v>57</v>
      </c>
      <c r="L809" s="108">
        <v>33</v>
      </c>
      <c r="M809" s="108" t="s">
        <v>2932</v>
      </c>
      <c r="N809" s="108" t="s">
        <v>2933</v>
      </c>
    </row>
    <row r="810" spans="1:14">
      <c r="A810" s="108">
        <v>803</v>
      </c>
      <c r="B810" s="108">
        <f t="shared" si="89"/>
        <v>368</v>
      </c>
      <c r="C810" s="108">
        <f t="shared" si="90"/>
        <v>0</v>
      </c>
      <c r="F810" s="108" t="s">
        <v>2934</v>
      </c>
      <c r="G810" s="108">
        <v>13</v>
      </c>
      <c r="H810" s="108">
        <v>34</v>
      </c>
      <c r="I810" s="108">
        <v>41.7</v>
      </c>
      <c r="J810" s="108">
        <v>0</v>
      </c>
      <c r="K810" s="108">
        <v>-35</v>
      </c>
      <c r="L810" s="108">
        <v>-45</v>
      </c>
      <c r="M810" s="108" t="s">
        <v>2935</v>
      </c>
      <c r="N810" s="108" t="s">
        <v>2936</v>
      </c>
    </row>
    <row r="811" spans="1:14">
      <c r="A811" s="108">
        <v>804</v>
      </c>
      <c r="B811" s="108">
        <f t="shared" si="89"/>
        <v>368</v>
      </c>
      <c r="C811" s="108">
        <f t="shared" si="90"/>
        <v>0</v>
      </c>
      <c r="F811" s="108" t="s">
        <v>2937</v>
      </c>
      <c r="G811" s="108">
        <v>12</v>
      </c>
      <c r="H811" s="108">
        <v>19</v>
      </c>
      <c r="I811" s="108">
        <v>54.3</v>
      </c>
      <c r="J811" s="108">
        <v>0</v>
      </c>
      <c r="K811" s="108">
        <v>-40</v>
      </c>
      <c r="L811" s="108">
        <v>0</v>
      </c>
      <c r="M811" s="108" t="s">
        <v>2938</v>
      </c>
      <c r="N811" s="108" t="s">
        <v>2939</v>
      </c>
    </row>
    <row r="812" spans="1:14">
      <c r="A812" s="108">
        <v>805</v>
      </c>
      <c r="B812" s="108">
        <f t="shared" si="89"/>
        <v>368</v>
      </c>
      <c r="C812" s="108">
        <f t="shared" si="90"/>
        <v>0</v>
      </c>
      <c r="F812" s="108" t="s">
        <v>2940</v>
      </c>
      <c r="G812" s="108">
        <v>13</v>
      </c>
      <c r="H812" s="108">
        <v>9</v>
      </c>
      <c r="I812" s="108">
        <v>57</v>
      </c>
      <c r="J812" s="108">
        <v>-5</v>
      </c>
      <c r="K812" s="108">
        <v>-32</v>
      </c>
      <c r="L812" s="108">
        <v>-20</v>
      </c>
      <c r="M812" s="108" t="s">
        <v>2941</v>
      </c>
      <c r="N812" s="108" t="s">
        <v>2942</v>
      </c>
    </row>
    <row r="813" spans="1:14">
      <c r="A813" s="108">
        <v>806</v>
      </c>
      <c r="B813" s="108">
        <f t="shared" si="89"/>
        <v>368</v>
      </c>
      <c r="C813" s="108">
        <f t="shared" si="90"/>
        <v>0</v>
      </c>
      <c r="F813" s="108" t="s">
        <v>2943</v>
      </c>
      <c r="G813" s="108">
        <v>14</v>
      </c>
      <c r="H813" s="108">
        <v>16</v>
      </c>
      <c r="I813" s="108">
        <v>0.9</v>
      </c>
      <c r="J813" s="108">
        <v>-6</v>
      </c>
      <c r="K813" s="108">
        <v>0</v>
      </c>
      <c r="L813" s="108">
        <v>-2</v>
      </c>
      <c r="M813" s="108" t="s">
        <v>2944</v>
      </c>
      <c r="N813" s="108" t="s">
        <v>2945</v>
      </c>
    </row>
    <row r="814" spans="1:14">
      <c r="A814" s="108">
        <v>807</v>
      </c>
      <c r="B814" s="108">
        <f t="shared" si="89"/>
        <v>368</v>
      </c>
      <c r="C814" s="108">
        <f t="shared" si="90"/>
        <v>0</v>
      </c>
      <c r="F814" s="108" t="s">
        <v>2946</v>
      </c>
      <c r="G814" s="108">
        <v>14</v>
      </c>
      <c r="H814" s="108">
        <v>12</v>
      </c>
      <c r="I814" s="108">
        <v>53.7</v>
      </c>
      <c r="J814" s="108">
        <v>-10</v>
      </c>
      <c r="K814" s="108">
        <v>-16</v>
      </c>
      <c r="L814" s="108">
        <v>-25</v>
      </c>
      <c r="M814" s="108" t="s">
        <v>2947</v>
      </c>
      <c r="N814" s="108" t="s">
        <v>2948</v>
      </c>
    </row>
    <row r="815" spans="1:14">
      <c r="A815" s="108">
        <v>808</v>
      </c>
      <c r="B815" s="108">
        <f t="shared" si="89"/>
        <v>368</v>
      </c>
      <c r="C815" s="108">
        <f t="shared" si="90"/>
        <v>0</v>
      </c>
      <c r="F815" s="108" t="s">
        <v>2949</v>
      </c>
      <c r="G815" s="108">
        <v>14</v>
      </c>
      <c r="H815" s="108">
        <v>43</v>
      </c>
      <c r="I815" s="108">
        <v>3.6</v>
      </c>
      <c r="J815" s="108">
        <v>-5</v>
      </c>
      <c r="K815" s="108">
        <v>-39</v>
      </c>
      <c r="L815" s="108">
        <v>-30</v>
      </c>
      <c r="M815" s="108" t="s">
        <v>2950</v>
      </c>
      <c r="N815" s="108" t="s">
        <v>2951</v>
      </c>
    </row>
    <row r="816" spans="1:14">
      <c r="A816" s="108">
        <v>809</v>
      </c>
      <c r="B816" s="108">
        <f t="shared" si="89"/>
        <v>368</v>
      </c>
      <c r="C816" s="108">
        <f t="shared" si="90"/>
        <v>0</v>
      </c>
      <c r="F816" s="108" t="s">
        <v>2952</v>
      </c>
      <c r="G816" s="108">
        <v>11</v>
      </c>
      <c r="H816" s="108">
        <v>45</v>
      </c>
      <c r="I816" s="108">
        <v>51.6</v>
      </c>
      <c r="J816" s="108">
        <v>6</v>
      </c>
      <c r="K816" s="108">
        <v>31</v>
      </c>
      <c r="L816" s="108">
        <v>46</v>
      </c>
      <c r="M816" s="108" t="s">
        <v>2953</v>
      </c>
      <c r="N816" s="108" t="s">
        <v>2954</v>
      </c>
    </row>
    <row r="817" spans="1:14">
      <c r="A817" s="108">
        <v>810</v>
      </c>
      <c r="B817" s="108">
        <f t="shared" si="89"/>
        <v>368</v>
      </c>
      <c r="C817" s="108">
        <f t="shared" si="90"/>
        <v>0</v>
      </c>
      <c r="F817" s="108" t="s">
        <v>2955</v>
      </c>
      <c r="G817" s="108">
        <v>12</v>
      </c>
      <c r="H817" s="108">
        <v>5</v>
      </c>
      <c r="I817" s="108">
        <v>12.5</v>
      </c>
      <c r="J817" s="108">
        <v>8</v>
      </c>
      <c r="K817" s="108">
        <v>43</v>
      </c>
      <c r="L817" s="108">
        <v>59</v>
      </c>
      <c r="M817" s="108" t="s">
        <v>2956</v>
      </c>
      <c r="N817" s="108" t="s">
        <v>2957</v>
      </c>
    </row>
    <row r="818" spans="1:14">
      <c r="A818" s="108">
        <v>811</v>
      </c>
      <c r="B818" s="108">
        <f t="shared" si="89"/>
        <v>368</v>
      </c>
      <c r="C818" s="108">
        <f t="shared" si="90"/>
        <v>0</v>
      </c>
      <c r="F818" s="108" t="s">
        <v>2958</v>
      </c>
      <c r="G818" s="108">
        <v>12</v>
      </c>
      <c r="H818" s="108">
        <v>0</v>
      </c>
      <c r="I818" s="108">
        <v>52.4</v>
      </c>
      <c r="J818" s="108">
        <v>6</v>
      </c>
      <c r="K818" s="108">
        <v>36</v>
      </c>
      <c r="L818" s="108">
        <v>52</v>
      </c>
      <c r="M818" s="108" t="s">
        <v>2959</v>
      </c>
      <c r="N818" s="108" t="s">
        <v>2960</v>
      </c>
    </row>
    <row r="819" spans="1:14">
      <c r="A819" s="108">
        <v>812</v>
      </c>
      <c r="B819" s="108">
        <f t="shared" si="89"/>
        <v>368</v>
      </c>
      <c r="C819" s="108">
        <f t="shared" si="90"/>
        <v>0</v>
      </c>
      <c r="F819" s="108" t="s">
        <v>2961</v>
      </c>
      <c r="G819" s="108">
        <v>14</v>
      </c>
      <c r="H819" s="108">
        <v>1</v>
      </c>
      <c r="I819" s="108">
        <v>38.799999999999997</v>
      </c>
      <c r="J819" s="108">
        <v>1</v>
      </c>
      <c r="K819" s="108">
        <v>32</v>
      </c>
      <c r="L819" s="108">
        <v>40</v>
      </c>
      <c r="M819" s="108" t="s">
        <v>2962</v>
      </c>
      <c r="N819" s="108" t="s">
        <v>2963</v>
      </c>
    </row>
    <row r="820" spans="1:14">
      <c r="A820" s="108">
        <v>813</v>
      </c>
      <c r="B820" s="108">
        <f t="shared" si="89"/>
        <v>368</v>
      </c>
      <c r="C820" s="108">
        <f t="shared" si="90"/>
        <v>0</v>
      </c>
      <c r="F820" s="108" t="s">
        <v>2964</v>
      </c>
      <c r="G820" s="108">
        <v>13</v>
      </c>
      <c r="H820" s="108">
        <v>15</v>
      </c>
      <c r="I820" s="108">
        <v>34.700000000000003</v>
      </c>
      <c r="J820" s="108">
        <v>-7</v>
      </c>
      <c r="K820" s="108">
        <v>-39</v>
      </c>
      <c r="L820" s="108">
        <v>-9</v>
      </c>
      <c r="M820" s="108" t="s">
        <v>2965</v>
      </c>
      <c r="N820" s="108" t="s">
        <v>2966</v>
      </c>
    </row>
    <row r="821" spans="1:14">
      <c r="A821" s="108">
        <v>814</v>
      </c>
      <c r="B821" s="108">
        <f t="shared" si="89"/>
        <v>368</v>
      </c>
      <c r="C821" s="108">
        <f t="shared" si="90"/>
        <v>0</v>
      </c>
      <c r="F821" s="108" t="s">
        <v>2967</v>
      </c>
      <c r="G821" s="108">
        <v>12</v>
      </c>
      <c r="H821" s="108">
        <v>54</v>
      </c>
      <c r="I821" s="108">
        <v>21.2</v>
      </c>
      <c r="J821" s="108">
        <v>-9</v>
      </c>
      <c r="K821" s="108">
        <v>-32</v>
      </c>
      <c r="L821" s="108">
        <v>-20</v>
      </c>
      <c r="M821" s="108" t="s">
        <v>2968</v>
      </c>
      <c r="N821" s="108" t="s">
        <v>2969</v>
      </c>
    </row>
    <row r="822" spans="1:14">
      <c r="A822" s="108">
        <v>815</v>
      </c>
      <c r="B822" s="108">
        <f t="shared" si="89"/>
        <v>368</v>
      </c>
      <c r="C822" s="108">
        <f t="shared" si="90"/>
        <v>0</v>
      </c>
      <c r="F822" s="108" t="s">
        <v>520</v>
      </c>
      <c r="M822" s="108" t="s">
        <v>2970</v>
      </c>
      <c r="N822" s="108" t="s">
        <v>518</v>
      </c>
    </row>
    <row r="823" spans="1:14">
      <c r="A823" s="108">
        <v>816</v>
      </c>
      <c r="B823" s="108">
        <f t="shared" si="89"/>
        <v>368</v>
      </c>
      <c r="C823" s="108">
        <f t="shared" si="90"/>
        <v>0</v>
      </c>
      <c r="F823" s="108" t="s">
        <v>2971</v>
      </c>
      <c r="G823" s="108">
        <v>3</v>
      </c>
      <c r="H823" s="108">
        <v>24</v>
      </c>
      <c r="I823" s="108">
        <v>19.399999999999999</v>
      </c>
      <c r="J823" s="108">
        <v>49</v>
      </c>
      <c r="K823" s="108">
        <v>51</v>
      </c>
      <c r="L823" s="108">
        <v>40</v>
      </c>
      <c r="M823" s="108" t="s">
        <v>2972</v>
      </c>
      <c r="N823" s="108" t="s">
        <v>2973</v>
      </c>
    </row>
    <row r="824" spans="1:14">
      <c r="A824" s="108">
        <v>817</v>
      </c>
      <c r="B824" s="108">
        <f t="shared" si="89"/>
        <v>368</v>
      </c>
      <c r="C824" s="108">
        <f t="shared" si="90"/>
        <v>0</v>
      </c>
      <c r="F824" s="108" t="s">
        <v>2974</v>
      </c>
      <c r="G824" s="108">
        <v>3</v>
      </c>
      <c r="H824" s="108">
        <v>8</v>
      </c>
      <c r="I824" s="108">
        <v>10.1</v>
      </c>
      <c r="J824" s="108">
        <v>40</v>
      </c>
      <c r="K824" s="108">
        <v>57</v>
      </c>
      <c r="L824" s="108">
        <v>20</v>
      </c>
      <c r="M824" s="108" t="s">
        <v>2975</v>
      </c>
      <c r="N824" s="108" t="s">
        <v>2976</v>
      </c>
    </row>
    <row r="825" spans="1:14">
      <c r="A825" s="108">
        <v>818</v>
      </c>
      <c r="B825" s="108">
        <f t="shared" si="89"/>
        <v>368</v>
      </c>
      <c r="C825" s="108">
        <f t="shared" si="90"/>
        <v>0</v>
      </c>
      <c r="F825" s="108" t="s">
        <v>2977</v>
      </c>
      <c r="G825" s="108">
        <v>3</v>
      </c>
      <c r="H825" s="108">
        <v>4</v>
      </c>
      <c r="I825" s="108">
        <v>47.8</v>
      </c>
      <c r="J825" s="108">
        <v>53</v>
      </c>
      <c r="K825" s="108">
        <v>30</v>
      </c>
      <c r="L825" s="108">
        <v>23</v>
      </c>
      <c r="M825" s="108" t="s">
        <v>2978</v>
      </c>
      <c r="N825" s="108" t="s">
        <v>2979</v>
      </c>
    </row>
    <row r="826" spans="1:14">
      <c r="A826" s="108">
        <v>819</v>
      </c>
      <c r="B826" s="108">
        <f t="shared" si="89"/>
        <v>368</v>
      </c>
      <c r="C826" s="108">
        <f t="shared" si="90"/>
        <v>0</v>
      </c>
      <c r="F826" s="108" t="s">
        <v>2980</v>
      </c>
      <c r="G826" s="108">
        <v>3</v>
      </c>
      <c r="H826" s="108">
        <v>42</v>
      </c>
      <c r="I826" s="108">
        <v>55.5</v>
      </c>
      <c r="J826" s="108">
        <v>47</v>
      </c>
      <c r="K826" s="108">
        <v>47</v>
      </c>
      <c r="L826" s="108">
        <v>15</v>
      </c>
      <c r="M826" s="108" t="s">
        <v>2981</v>
      </c>
      <c r="N826" s="108" t="s">
        <v>2982</v>
      </c>
    </row>
    <row r="827" spans="1:14">
      <c r="A827" s="108">
        <v>820</v>
      </c>
      <c r="B827" s="108">
        <f t="shared" si="89"/>
        <v>368</v>
      </c>
      <c r="C827" s="108">
        <f t="shared" si="90"/>
        <v>0</v>
      </c>
      <c r="F827" s="108" t="s">
        <v>2983</v>
      </c>
      <c r="G827" s="108">
        <v>3</v>
      </c>
      <c r="H827" s="108">
        <v>57</v>
      </c>
      <c r="I827" s="108">
        <v>51.2</v>
      </c>
      <c r="J827" s="108">
        <v>40</v>
      </c>
      <c r="K827" s="108">
        <v>0</v>
      </c>
      <c r="L827" s="108">
        <v>37</v>
      </c>
      <c r="M827" s="108" t="s">
        <v>2984</v>
      </c>
      <c r="N827" s="108" t="s">
        <v>2985</v>
      </c>
    </row>
    <row r="828" spans="1:14">
      <c r="A828" s="108">
        <v>821</v>
      </c>
      <c r="B828" s="108">
        <f t="shared" si="89"/>
        <v>368</v>
      </c>
      <c r="C828" s="108">
        <f t="shared" si="90"/>
        <v>0</v>
      </c>
      <c r="F828" s="108" t="s">
        <v>2986</v>
      </c>
      <c r="G828" s="108">
        <v>3</v>
      </c>
      <c r="H828" s="108">
        <v>54</v>
      </c>
      <c r="I828" s="108">
        <v>7.9</v>
      </c>
      <c r="J828" s="108">
        <v>31</v>
      </c>
      <c r="K828" s="108">
        <v>53</v>
      </c>
      <c r="L828" s="108">
        <v>1</v>
      </c>
      <c r="M828" s="108" t="s">
        <v>2987</v>
      </c>
      <c r="N828" s="108" t="s">
        <v>2988</v>
      </c>
    </row>
    <row r="829" spans="1:14">
      <c r="A829" s="108">
        <v>822</v>
      </c>
      <c r="B829" s="108">
        <f t="shared" si="89"/>
        <v>368</v>
      </c>
      <c r="C829" s="108">
        <f t="shared" si="90"/>
        <v>0</v>
      </c>
      <c r="F829" s="108" t="s">
        <v>2989</v>
      </c>
      <c r="G829" s="108">
        <v>2</v>
      </c>
      <c r="H829" s="108">
        <v>50</v>
      </c>
      <c r="I829" s="108">
        <v>41.8</v>
      </c>
      <c r="J829" s="108">
        <v>55</v>
      </c>
      <c r="K829" s="108">
        <v>53</v>
      </c>
      <c r="L829" s="108">
        <v>44</v>
      </c>
      <c r="M829" s="108" t="s">
        <v>2990</v>
      </c>
      <c r="N829" s="108" t="s">
        <v>2991</v>
      </c>
    </row>
    <row r="830" spans="1:14">
      <c r="A830" s="108">
        <v>823</v>
      </c>
      <c r="B830" s="108">
        <f t="shared" si="89"/>
        <v>368</v>
      </c>
      <c r="C830" s="108">
        <f t="shared" si="90"/>
        <v>0</v>
      </c>
      <c r="F830" s="108" t="s">
        <v>2992</v>
      </c>
      <c r="G830" s="108">
        <v>3</v>
      </c>
      <c r="H830" s="108">
        <v>45</v>
      </c>
      <c r="I830" s="108">
        <v>11.6</v>
      </c>
      <c r="J830" s="108">
        <v>42</v>
      </c>
      <c r="K830" s="108">
        <v>34</v>
      </c>
      <c r="L830" s="108">
        <v>43</v>
      </c>
      <c r="M830" s="108" t="s">
        <v>2993</v>
      </c>
      <c r="N830" s="108" t="s">
        <v>2994</v>
      </c>
    </row>
    <row r="831" spans="1:14">
      <c r="A831" s="108">
        <v>824</v>
      </c>
      <c r="B831" s="108">
        <f t="shared" si="89"/>
        <v>368</v>
      </c>
      <c r="C831" s="108">
        <f t="shared" si="90"/>
        <v>0</v>
      </c>
      <c r="F831" s="108" t="s">
        <v>2995</v>
      </c>
      <c r="G831" s="108">
        <v>3</v>
      </c>
      <c r="H831" s="108">
        <v>58</v>
      </c>
      <c r="I831" s="108">
        <v>57.9</v>
      </c>
      <c r="J831" s="108">
        <v>35</v>
      </c>
      <c r="K831" s="108">
        <v>47</v>
      </c>
      <c r="L831" s="108">
        <v>28</v>
      </c>
      <c r="M831" s="108" t="s">
        <v>2996</v>
      </c>
      <c r="N831" s="108" t="s">
        <v>2997</v>
      </c>
    </row>
    <row r="832" spans="1:14">
      <c r="A832" s="108">
        <v>825</v>
      </c>
      <c r="B832" s="108">
        <f t="shared" si="89"/>
        <v>368</v>
      </c>
      <c r="C832" s="108">
        <f t="shared" si="90"/>
        <v>0</v>
      </c>
      <c r="F832" s="108" t="s">
        <v>2998</v>
      </c>
      <c r="G832" s="108">
        <v>3</v>
      </c>
      <c r="H832" s="108">
        <v>44</v>
      </c>
      <c r="I832" s="108">
        <v>19.100000000000001</v>
      </c>
      <c r="J832" s="108">
        <v>32</v>
      </c>
      <c r="K832" s="108">
        <v>17</v>
      </c>
      <c r="L832" s="108">
        <v>18</v>
      </c>
      <c r="M832" s="108" t="s">
        <v>2999</v>
      </c>
      <c r="N832" s="108" t="s">
        <v>3000</v>
      </c>
    </row>
    <row r="833" spans="1:14">
      <c r="A833" s="108">
        <v>826</v>
      </c>
      <c r="B833" s="108">
        <f t="shared" si="89"/>
        <v>368</v>
      </c>
      <c r="C833" s="108">
        <f t="shared" si="90"/>
        <v>0</v>
      </c>
      <c r="F833" s="108" t="s">
        <v>3001</v>
      </c>
      <c r="G833" s="108">
        <v>3</v>
      </c>
      <c r="H833" s="108">
        <v>5</v>
      </c>
      <c r="I833" s="108">
        <v>10.6</v>
      </c>
      <c r="J833" s="108">
        <v>38</v>
      </c>
      <c r="K833" s="108">
        <v>50</v>
      </c>
      <c r="L833" s="108">
        <v>25</v>
      </c>
      <c r="M833" s="108" t="s">
        <v>3002</v>
      </c>
      <c r="N833" s="108" t="s">
        <v>3003</v>
      </c>
    </row>
    <row r="834" spans="1:14">
      <c r="A834" s="108">
        <v>827</v>
      </c>
      <c r="B834" s="108">
        <f t="shared" si="89"/>
        <v>368</v>
      </c>
      <c r="C834" s="108">
        <f t="shared" si="90"/>
        <v>0</v>
      </c>
      <c r="F834" s="108" t="s">
        <v>3004</v>
      </c>
      <c r="G834" s="108">
        <v>1</v>
      </c>
      <c r="H834" s="108">
        <v>43</v>
      </c>
      <c r="I834" s="108">
        <v>39.6</v>
      </c>
      <c r="J834" s="108">
        <v>50</v>
      </c>
      <c r="K834" s="108">
        <v>41</v>
      </c>
      <c r="L834" s="108">
        <v>19</v>
      </c>
      <c r="M834" s="108" t="s">
        <v>3005</v>
      </c>
      <c r="N834" s="108" t="s">
        <v>3006</v>
      </c>
    </row>
    <row r="835" spans="1:14">
      <c r="A835" s="108">
        <v>828</v>
      </c>
      <c r="B835" s="108">
        <f t="shared" si="89"/>
        <v>368</v>
      </c>
      <c r="C835" s="108">
        <f t="shared" si="90"/>
        <v>0</v>
      </c>
      <c r="F835" s="108" t="s">
        <v>509</v>
      </c>
      <c r="M835" s="108" t="s">
        <v>3007</v>
      </c>
      <c r="N835" s="108" t="s">
        <v>507</v>
      </c>
    </row>
    <row r="836" spans="1:14">
      <c r="A836" s="108">
        <v>829</v>
      </c>
      <c r="B836" s="108">
        <f t="shared" si="89"/>
        <v>368</v>
      </c>
      <c r="C836" s="108">
        <f t="shared" si="90"/>
        <v>0</v>
      </c>
      <c r="F836" s="108" t="s">
        <v>3008</v>
      </c>
      <c r="G836" s="108">
        <v>23</v>
      </c>
      <c r="H836" s="108">
        <v>4</v>
      </c>
      <c r="I836" s="108">
        <v>45.7</v>
      </c>
      <c r="J836" s="108">
        <v>15</v>
      </c>
      <c r="K836" s="108">
        <v>12</v>
      </c>
      <c r="L836" s="108">
        <v>19</v>
      </c>
      <c r="M836" s="108" t="s">
        <v>3009</v>
      </c>
      <c r="N836" s="108" t="s">
        <v>3010</v>
      </c>
    </row>
    <row r="837" spans="1:14">
      <c r="A837" s="108">
        <v>830</v>
      </c>
      <c r="B837" s="108">
        <f t="shared" si="89"/>
        <v>368</v>
      </c>
      <c r="C837" s="108">
        <f t="shared" si="90"/>
        <v>0</v>
      </c>
      <c r="F837" s="108" t="s">
        <v>3011</v>
      </c>
      <c r="G837" s="108">
        <v>23</v>
      </c>
      <c r="H837" s="108">
        <v>3</v>
      </c>
      <c r="I837" s="108">
        <v>46.5</v>
      </c>
      <c r="J837" s="108">
        <v>28</v>
      </c>
      <c r="K837" s="108">
        <v>4</v>
      </c>
      <c r="L837" s="108">
        <v>58</v>
      </c>
      <c r="M837" s="108" t="s">
        <v>3012</v>
      </c>
      <c r="N837" s="108" t="s">
        <v>3013</v>
      </c>
    </row>
    <row r="838" spans="1:14">
      <c r="A838" s="108">
        <v>831</v>
      </c>
      <c r="B838" s="108">
        <f t="shared" ref="B838:B901" si="91">IF(B837=F838,A838,B837)</f>
        <v>368</v>
      </c>
      <c r="C838" s="108">
        <f t="shared" ref="C838:C901" si="92" xml:space="preserve"> IF(C837=F838,A838,C837)</f>
        <v>0</v>
      </c>
      <c r="F838" s="108" t="s">
        <v>3014</v>
      </c>
      <c r="G838" s="108">
        <v>0</v>
      </c>
      <c r="H838" s="108">
        <v>13</v>
      </c>
      <c r="I838" s="108">
        <v>14.2</v>
      </c>
      <c r="J838" s="108">
        <v>15</v>
      </c>
      <c r="K838" s="108">
        <v>11</v>
      </c>
      <c r="L838" s="108">
        <v>1</v>
      </c>
      <c r="M838" s="108" t="s">
        <v>3015</v>
      </c>
      <c r="N838" s="108" t="s">
        <v>3016</v>
      </c>
    </row>
    <row r="839" spans="1:14">
      <c r="A839" s="108">
        <v>832</v>
      </c>
      <c r="B839" s="108">
        <f t="shared" si="91"/>
        <v>368</v>
      </c>
      <c r="C839" s="108">
        <f t="shared" si="92"/>
        <v>0</v>
      </c>
      <c r="F839" s="108" t="s">
        <v>3017</v>
      </c>
      <c r="G839" s="108">
        <v>21</v>
      </c>
      <c r="H839" s="108">
        <v>44</v>
      </c>
      <c r="I839" s="108">
        <v>11.2</v>
      </c>
      <c r="J839" s="108">
        <v>9</v>
      </c>
      <c r="K839" s="108">
        <v>52</v>
      </c>
      <c r="L839" s="108">
        <v>30</v>
      </c>
      <c r="M839" s="108" t="s">
        <v>3018</v>
      </c>
      <c r="N839" s="108" t="s">
        <v>3019</v>
      </c>
    </row>
    <row r="840" spans="1:14">
      <c r="A840" s="108">
        <v>833</v>
      </c>
      <c r="B840" s="108">
        <f t="shared" si="91"/>
        <v>368</v>
      </c>
      <c r="C840" s="108">
        <f t="shared" si="92"/>
        <v>0</v>
      </c>
      <c r="F840" s="108" t="s">
        <v>3020</v>
      </c>
      <c r="G840" s="108">
        <v>22</v>
      </c>
      <c r="H840" s="108">
        <v>41</v>
      </c>
      <c r="I840" s="108">
        <v>27.7</v>
      </c>
      <c r="J840" s="108">
        <v>10</v>
      </c>
      <c r="K840" s="108">
        <v>49</v>
      </c>
      <c r="L840" s="108">
        <v>53</v>
      </c>
      <c r="M840" s="108" t="s">
        <v>3021</v>
      </c>
      <c r="N840" s="108" t="s">
        <v>3022</v>
      </c>
    </row>
    <row r="841" spans="1:14">
      <c r="A841" s="108">
        <v>834</v>
      </c>
      <c r="B841" s="108">
        <f t="shared" si="91"/>
        <v>368</v>
      </c>
      <c r="C841" s="108">
        <f t="shared" si="92"/>
        <v>0</v>
      </c>
      <c r="F841" s="108" t="s">
        <v>3023</v>
      </c>
      <c r="G841" s="108">
        <v>22</v>
      </c>
      <c r="H841" s="108">
        <v>43</v>
      </c>
      <c r="I841" s="108">
        <v>0.1</v>
      </c>
      <c r="J841" s="108">
        <v>30</v>
      </c>
      <c r="K841" s="108">
        <v>13</v>
      </c>
      <c r="L841" s="108">
        <v>16</v>
      </c>
      <c r="M841" s="108" t="s">
        <v>3024</v>
      </c>
      <c r="N841" s="108" t="s">
        <v>3025</v>
      </c>
    </row>
    <row r="842" spans="1:14">
      <c r="A842" s="108">
        <v>835</v>
      </c>
      <c r="B842" s="108">
        <f t="shared" si="91"/>
        <v>368</v>
      </c>
      <c r="C842" s="108">
        <f t="shared" si="92"/>
        <v>0</v>
      </c>
      <c r="F842" s="108" t="s">
        <v>3026</v>
      </c>
      <c r="G842" s="108">
        <v>22</v>
      </c>
      <c r="H842" s="108">
        <v>10</v>
      </c>
      <c r="I842" s="108">
        <v>12</v>
      </c>
      <c r="J842" s="108">
        <v>6</v>
      </c>
      <c r="K842" s="108">
        <v>11</v>
      </c>
      <c r="L842" s="108">
        <v>52</v>
      </c>
      <c r="M842" s="108" t="s">
        <v>3027</v>
      </c>
      <c r="N842" s="108" t="s">
        <v>3028</v>
      </c>
    </row>
    <row r="843" spans="1:14">
      <c r="A843" s="108">
        <v>836</v>
      </c>
      <c r="B843" s="108">
        <f t="shared" si="91"/>
        <v>368</v>
      </c>
      <c r="C843" s="108">
        <f t="shared" si="92"/>
        <v>0</v>
      </c>
      <c r="F843" s="108" t="s">
        <v>3029</v>
      </c>
      <c r="G843" s="108">
        <v>22</v>
      </c>
      <c r="H843" s="108">
        <v>46</v>
      </c>
      <c r="I843" s="108">
        <v>31.9</v>
      </c>
      <c r="J843" s="108">
        <v>23</v>
      </c>
      <c r="K843" s="108">
        <v>33</v>
      </c>
      <c r="L843" s="108">
        <v>56</v>
      </c>
      <c r="M843" s="108" t="s">
        <v>3030</v>
      </c>
      <c r="N843" s="108" t="s">
        <v>3031</v>
      </c>
    </row>
    <row r="844" spans="1:14">
      <c r="A844" s="108">
        <v>837</v>
      </c>
      <c r="B844" s="108">
        <f t="shared" si="91"/>
        <v>368</v>
      </c>
      <c r="C844" s="108">
        <f t="shared" si="92"/>
        <v>0</v>
      </c>
      <c r="F844" s="108" t="s">
        <v>3032</v>
      </c>
      <c r="G844" s="108">
        <v>22</v>
      </c>
      <c r="H844" s="108">
        <v>50</v>
      </c>
      <c r="I844" s="108">
        <v>0.2</v>
      </c>
      <c r="J844" s="108">
        <v>24</v>
      </c>
      <c r="K844" s="108">
        <v>36</v>
      </c>
      <c r="L844" s="108">
        <v>6</v>
      </c>
      <c r="M844" s="108" t="s">
        <v>3033</v>
      </c>
      <c r="N844" s="108" t="s">
        <v>3034</v>
      </c>
    </row>
    <row r="845" spans="1:14">
      <c r="A845" s="108">
        <v>838</v>
      </c>
      <c r="B845" s="108">
        <f t="shared" si="91"/>
        <v>368</v>
      </c>
      <c r="C845" s="108">
        <f t="shared" si="92"/>
        <v>0</v>
      </c>
      <c r="F845" s="108" t="s">
        <v>3035</v>
      </c>
      <c r="G845" s="108">
        <v>22</v>
      </c>
      <c r="H845" s="108">
        <v>41</v>
      </c>
      <c r="I845" s="108">
        <v>45.4</v>
      </c>
      <c r="J845" s="108">
        <v>29</v>
      </c>
      <c r="K845" s="108">
        <v>18</v>
      </c>
      <c r="L845" s="108">
        <v>28</v>
      </c>
      <c r="M845" s="108" t="s">
        <v>3036</v>
      </c>
      <c r="N845" s="108" t="s">
        <v>3037</v>
      </c>
    </row>
    <row r="846" spans="1:14">
      <c r="A846" s="108">
        <v>839</v>
      </c>
      <c r="B846" s="108">
        <f t="shared" si="91"/>
        <v>368</v>
      </c>
      <c r="C846" s="108">
        <f t="shared" si="92"/>
        <v>0</v>
      </c>
      <c r="F846" s="108" t="s">
        <v>3038</v>
      </c>
      <c r="G846" s="108">
        <v>22</v>
      </c>
      <c r="H846" s="108">
        <v>9</v>
      </c>
      <c r="I846" s="108">
        <v>59.2</v>
      </c>
      <c r="J846" s="108">
        <v>33</v>
      </c>
      <c r="K846" s="108">
        <v>10</v>
      </c>
      <c r="L846" s="108">
        <v>42</v>
      </c>
      <c r="M846" s="108" t="s">
        <v>3039</v>
      </c>
      <c r="N846" s="108" t="s">
        <v>3040</v>
      </c>
    </row>
    <row r="847" spans="1:14">
      <c r="A847" s="108">
        <v>840</v>
      </c>
      <c r="B847" s="108">
        <f t="shared" si="91"/>
        <v>368</v>
      </c>
      <c r="C847" s="108">
        <f t="shared" si="92"/>
        <v>0</v>
      </c>
      <c r="F847" s="108" t="s">
        <v>3041</v>
      </c>
      <c r="G847" s="108">
        <v>23</v>
      </c>
      <c r="H847" s="108">
        <v>20</v>
      </c>
      <c r="I847" s="108">
        <v>38.200000000000003</v>
      </c>
      <c r="J847" s="108">
        <v>23</v>
      </c>
      <c r="K847" s="108">
        <v>44</v>
      </c>
      <c r="L847" s="108">
        <v>25</v>
      </c>
      <c r="M847" s="108" t="s">
        <v>3042</v>
      </c>
      <c r="N847" s="108" t="s">
        <v>3043</v>
      </c>
    </row>
    <row r="848" spans="1:14">
      <c r="A848" s="108">
        <v>841</v>
      </c>
      <c r="B848" s="108">
        <f t="shared" si="91"/>
        <v>368</v>
      </c>
      <c r="C848" s="108">
        <f t="shared" si="92"/>
        <v>0</v>
      </c>
      <c r="F848" s="108" t="s">
        <v>3044</v>
      </c>
      <c r="G848" s="108">
        <v>23</v>
      </c>
      <c r="H848" s="108">
        <v>25</v>
      </c>
      <c r="I848" s="108">
        <v>22.8</v>
      </c>
      <c r="J848" s="108">
        <v>23</v>
      </c>
      <c r="K848" s="108">
        <v>24</v>
      </c>
      <c r="L848" s="108">
        <v>15</v>
      </c>
      <c r="M848" s="108" t="s">
        <v>3045</v>
      </c>
      <c r="N848" s="108" t="s">
        <v>3046</v>
      </c>
    </row>
    <row r="849" spans="1:14">
      <c r="A849" s="108">
        <v>842</v>
      </c>
      <c r="B849" s="108">
        <f t="shared" si="91"/>
        <v>368</v>
      </c>
      <c r="C849" s="108">
        <f t="shared" si="92"/>
        <v>0</v>
      </c>
      <c r="F849" s="108" t="s">
        <v>3047</v>
      </c>
      <c r="G849" s="108">
        <v>23</v>
      </c>
      <c r="H849" s="108">
        <v>52</v>
      </c>
      <c r="I849" s="108">
        <v>29.3</v>
      </c>
      <c r="J849" s="108">
        <v>19</v>
      </c>
      <c r="K849" s="108">
        <v>7</v>
      </c>
      <c r="L849" s="108">
        <v>13</v>
      </c>
      <c r="M849" s="108" t="s">
        <v>3048</v>
      </c>
      <c r="N849" s="108" t="s">
        <v>3049</v>
      </c>
    </row>
    <row r="850" spans="1:14">
      <c r="A850" s="108">
        <v>843</v>
      </c>
      <c r="B850" s="108">
        <f t="shared" si="91"/>
        <v>368</v>
      </c>
      <c r="C850" s="108">
        <f t="shared" si="92"/>
        <v>0</v>
      </c>
      <c r="F850" s="108" t="s">
        <v>3050</v>
      </c>
      <c r="G850" s="108">
        <v>0</v>
      </c>
      <c r="H850" s="108">
        <v>14</v>
      </c>
      <c r="I850" s="108">
        <v>36.200000000000003</v>
      </c>
      <c r="J850" s="108">
        <v>20</v>
      </c>
      <c r="K850" s="108">
        <v>12</v>
      </c>
      <c r="L850" s="108">
        <v>24</v>
      </c>
      <c r="M850" s="108" t="s">
        <v>3051</v>
      </c>
      <c r="N850" s="108" t="s">
        <v>3052</v>
      </c>
    </row>
    <row r="851" spans="1:14">
      <c r="A851" s="108">
        <v>844</v>
      </c>
      <c r="B851" s="108">
        <f t="shared" si="91"/>
        <v>368</v>
      </c>
      <c r="C851" s="108">
        <f t="shared" si="92"/>
        <v>0</v>
      </c>
      <c r="F851" s="108" t="s">
        <v>3053</v>
      </c>
      <c r="G851" s="108">
        <v>23</v>
      </c>
      <c r="H851" s="108">
        <v>57</v>
      </c>
      <c r="I851" s="108">
        <v>45.5</v>
      </c>
      <c r="J851" s="108">
        <v>25</v>
      </c>
      <c r="K851" s="108">
        <v>8</v>
      </c>
      <c r="L851" s="108">
        <v>29</v>
      </c>
      <c r="M851" s="108" t="s">
        <v>3054</v>
      </c>
      <c r="N851" s="108" t="s">
        <v>3055</v>
      </c>
    </row>
    <row r="852" spans="1:14">
      <c r="A852" s="108">
        <v>845</v>
      </c>
      <c r="B852" s="108">
        <f t="shared" si="91"/>
        <v>368</v>
      </c>
      <c r="C852" s="108">
        <f t="shared" si="92"/>
        <v>0</v>
      </c>
      <c r="F852" s="108" t="s">
        <v>224</v>
      </c>
      <c r="M852" s="108" t="s">
        <v>3056</v>
      </c>
      <c r="N852" s="108" t="s">
        <v>223</v>
      </c>
    </row>
    <row r="853" spans="1:14">
      <c r="A853" s="108">
        <v>846</v>
      </c>
      <c r="B853" s="108">
        <f t="shared" si="91"/>
        <v>368</v>
      </c>
      <c r="C853" s="108">
        <f t="shared" si="92"/>
        <v>0</v>
      </c>
      <c r="F853" s="108" t="s">
        <v>3057</v>
      </c>
      <c r="G853" s="108">
        <v>5</v>
      </c>
      <c r="H853" s="108">
        <v>39</v>
      </c>
      <c r="I853" s="108">
        <v>38.9</v>
      </c>
      <c r="J853" s="108">
        <v>-34</v>
      </c>
      <c r="K853" s="108">
        <v>-4</v>
      </c>
      <c r="L853" s="108">
        <v>-27</v>
      </c>
      <c r="M853" s="108" t="s">
        <v>3058</v>
      </c>
      <c r="N853" s="108" t="s">
        <v>3059</v>
      </c>
    </row>
    <row r="854" spans="1:14">
      <c r="A854" s="108">
        <v>847</v>
      </c>
      <c r="B854" s="108">
        <f t="shared" si="91"/>
        <v>368</v>
      </c>
      <c r="C854" s="108">
        <f t="shared" si="92"/>
        <v>0</v>
      </c>
      <c r="F854" s="108" t="s">
        <v>3060</v>
      </c>
      <c r="G854" s="108">
        <v>5</v>
      </c>
      <c r="H854" s="108">
        <v>50</v>
      </c>
      <c r="I854" s="108">
        <v>57.6</v>
      </c>
      <c r="J854" s="108">
        <v>-35</v>
      </c>
      <c r="K854" s="108">
        <v>-46</v>
      </c>
      <c r="L854" s="108">
        <v>-6</v>
      </c>
      <c r="M854" s="108" t="s">
        <v>3061</v>
      </c>
      <c r="N854" s="108" t="s">
        <v>3062</v>
      </c>
    </row>
    <row r="855" spans="1:14">
      <c r="A855" s="108">
        <v>848</v>
      </c>
      <c r="B855" s="108">
        <f t="shared" si="91"/>
        <v>368</v>
      </c>
      <c r="C855" s="108">
        <f t="shared" si="92"/>
        <v>0</v>
      </c>
      <c r="F855" s="108" t="s">
        <v>3063</v>
      </c>
      <c r="G855" s="108">
        <v>6</v>
      </c>
      <c r="H855" s="108">
        <v>22</v>
      </c>
      <c r="I855" s="108">
        <v>6.8</v>
      </c>
      <c r="J855" s="108">
        <v>-33</v>
      </c>
      <c r="K855" s="108">
        <v>-26</v>
      </c>
      <c r="L855" s="108">
        <v>-11</v>
      </c>
      <c r="M855" s="108" t="s">
        <v>3064</v>
      </c>
      <c r="N855" s="108" t="s">
        <v>3065</v>
      </c>
    </row>
    <row r="856" spans="1:14">
      <c r="A856" s="108">
        <v>849</v>
      </c>
      <c r="B856" s="108">
        <f t="shared" si="91"/>
        <v>368</v>
      </c>
      <c r="C856" s="108">
        <f t="shared" si="92"/>
        <v>0</v>
      </c>
      <c r="F856" s="108" t="s">
        <v>3066</v>
      </c>
      <c r="G856" s="108">
        <v>5</v>
      </c>
      <c r="H856" s="108">
        <v>31</v>
      </c>
      <c r="I856" s="108">
        <v>12.8</v>
      </c>
      <c r="J856" s="108">
        <v>-35</v>
      </c>
      <c r="K856" s="108">
        <v>-28</v>
      </c>
      <c r="L856" s="108">
        <v>-14</v>
      </c>
      <c r="M856" s="108" t="s">
        <v>3067</v>
      </c>
      <c r="N856" s="108" t="s">
        <v>3068</v>
      </c>
    </row>
    <row r="857" spans="1:14">
      <c r="A857" s="108">
        <v>850</v>
      </c>
      <c r="B857" s="108">
        <f t="shared" si="91"/>
        <v>368</v>
      </c>
      <c r="C857" s="108">
        <f t="shared" si="92"/>
        <v>0</v>
      </c>
      <c r="F857" s="108" t="s">
        <v>562</v>
      </c>
      <c r="M857" s="108" t="s">
        <v>3069</v>
      </c>
      <c r="N857" s="108" t="s">
        <v>561</v>
      </c>
    </row>
    <row r="858" spans="1:14">
      <c r="A858" s="108">
        <v>851</v>
      </c>
      <c r="B858" s="108">
        <f t="shared" si="91"/>
        <v>368</v>
      </c>
      <c r="C858" s="108">
        <f t="shared" si="92"/>
        <v>0</v>
      </c>
      <c r="F858" s="108" t="s">
        <v>3070</v>
      </c>
      <c r="G858" s="108">
        <v>7</v>
      </c>
      <c r="H858" s="108">
        <v>49</v>
      </c>
      <c r="I858" s="108">
        <v>17.7</v>
      </c>
      <c r="J858" s="108">
        <v>-24</v>
      </c>
      <c r="K858" s="108">
        <v>-51</v>
      </c>
      <c r="L858" s="108">
        <v>-35</v>
      </c>
      <c r="M858" s="108" t="s">
        <v>3071</v>
      </c>
      <c r="N858" s="108" t="s">
        <v>3072</v>
      </c>
    </row>
    <row r="859" spans="1:14">
      <c r="A859" s="108">
        <v>852</v>
      </c>
      <c r="B859" s="108">
        <f t="shared" si="91"/>
        <v>368</v>
      </c>
      <c r="C859" s="108">
        <f t="shared" si="92"/>
        <v>0</v>
      </c>
      <c r="F859" s="108" t="s">
        <v>3073</v>
      </c>
      <c r="G859" s="108">
        <v>8</v>
      </c>
      <c r="H859" s="108">
        <v>7</v>
      </c>
      <c r="I859" s="108">
        <v>32.6</v>
      </c>
      <c r="J859" s="108">
        <v>-24</v>
      </c>
      <c r="K859" s="108">
        <v>-18</v>
      </c>
      <c r="L859" s="108">
        <v>-16</v>
      </c>
      <c r="M859" s="108" t="s">
        <v>3074</v>
      </c>
      <c r="N859" s="108" t="s">
        <v>3075</v>
      </c>
    </row>
    <row r="860" spans="1:14">
      <c r="A860" s="108">
        <v>853</v>
      </c>
      <c r="B860" s="108">
        <f t="shared" si="91"/>
        <v>368</v>
      </c>
      <c r="C860" s="108">
        <f t="shared" si="92"/>
        <v>0</v>
      </c>
      <c r="F860" s="108" t="s">
        <v>571</v>
      </c>
      <c r="M860" s="108" t="s">
        <v>3076</v>
      </c>
      <c r="N860" s="108" t="s">
        <v>570</v>
      </c>
    </row>
    <row r="861" spans="1:14">
      <c r="A861" s="108">
        <v>854</v>
      </c>
      <c r="B861" s="108">
        <f t="shared" si="91"/>
        <v>368</v>
      </c>
      <c r="C861" s="108">
        <f t="shared" si="92"/>
        <v>0</v>
      </c>
      <c r="F861" s="108" t="s">
        <v>380</v>
      </c>
      <c r="M861" s="108" t="s">
        <v>3077</v>
      </c>
      <c r="N861" s="108" t="s">
        <v>378</v>
      </c>
    </row>
    <row r="862" spans="1:14">
      <c r="A862" s="108">
        <v>855</v>
      </c>
      <c r="B862" s="108">
        <f t="shared" si="91"/>
        <v>368</v>
      </c>
      <c r="C862" s="108">
        <f t="shared" si="92"/>
        <v>0</v>
      </c>
      <c r="F862" s="108" t="s">
        <v>3078</v>
      </c>
      <c r="G862" s="108">
        <v>22</v>
      </c>
      <c r="H862" s="108">
        <v>31</v>
      </c>
      <c r="I862" s="108">
        <v>17.5</v>
      </c>
      <c r="J862" s="108">
        <v>50</v>
      </c>
      <c r="K862" s="108">
        <v>16</v>
      </c>
      <c r="L862" s="108">
        <v>57</v>
      </c>
      <c r="M862" s="108" t="s">
        <v>3079</v>
      </c>
      <c r="N862" s="108" t="s">
        <v>3080</v>
      </c>
    </row>
    <row r="863" spans="1:14">
      <c r="A863" s="108">
        <v>856</v>
      </c>
      <c r="B863" s="108">
        <f t="shared" si="91"/>
        <v>368</v>
      </c>
      <c r="C863" s="108">
        <f t="shared" si="92"/>
        <v>0</v>
      </c>
      <c r="F863" s="108" t="s">
        <v>3081</v>
      </c>
      <c r="G863" s="108">
        <v>22</v>
      </c>
      <c r="H863" s="108">
        <v>23</v>
      </c>
      <c r="I863" s="108">
        <v>33.6</v>
      </c>
      <c r="J863" s="108">
        <v>52</v>
      </c>
      <c r="K863" s="108">
        <v>13</v>
      </c>
      <c r="L863" s="108">
        <v>45</v>
      </c>
      <c r="M863" s="108" t="s">
        <v>3082</v>
      </c>
      <c r="N863" s="108" t="s">
        <v>3083</v>
      </c>
    </row>
    <row r="864" spans="1:14">
      <c r="A864" s="108">
        <v>857</v>
      </c>
      <c r="B864" s="108">
        <f t="shared" si="91"/>
        <v>368</v>
      </c>
      <c r="C864" s="108">
        <f t="shared" si="92"/>
        <v>0</v>
      </c>
      <c r="F864" s="108" t="s">
        <v>595</v>
      </c>
      <c r="M864" s="108" t="s">
        <v>3084</v>
      </c>
      <c r="N864" s="108" t="s">
        <v>593</v>
      </c>
    </row>
    <row r="865" spans="1:14">
      <c r="A865" s="108">
        <v>858</v>
      </c>
      <c r="B865" s="108">
        <f t="shared" si="91"/>
        <v>368</v>
      </c>
      <c r="C865" s="108">
        <f t="shared" si="92"/>
        <v>0</v>
      </c>
      <c r="F865" s="108" t="s">
        <v>3085</v>
      </c>
      <c r="G865" s="108">
        <v>16</v>
      </c>
      <c r="H865" s="108">
        <v>29</v>
      </c>
      <c r="I865" s="108">
        <v>24.4</v>
      </c>
      <c r="J865" s="108">
        <v>-26</v>
      </c>
      <c r="K865" s="108">
        <v>-25</v>
      </c>
      <c r="L865" s="108">
        <v>-55</v>
      </c>
      <c r="M865" s="108" t="s">
        <v>3086</v>
      </c>
      <c r="N865" s="108" t="s">
        <v>3087</v>
      </c>
    </row>
    <row r="866" spans="1:14">
      <c r="A866" s="108">
        <v>859</v>
      </c>
      <c r="B866" s="108">
        <f t="shared" si="91"/>
        <v>368</v>
      </c>
      <c r="C866" s="108">
        <f t="shared" si="92"/>
        <v>0</v>
      </c>
      <c r="F866" s="108" t="s">
        <v>3088</v>
      </c>
      <c r="G866" s="108">
        <v>16</v>
      </c>
      <c r="H866" s="108">
        <v>5</v>
      </c>
      <c r="I866" s="108">
        <v>26.2</v>
      </c>
      <c r="J866" s="108">
        <v>-19</v>
      </c>
      <c r="K866" s="108">
        <v>-48</v>
      </c>
      <c r="L866" s="108">
        <v>-19</v>
      </c>
      <c r="M866" s="108" t="s">
        <v>3089</v>
      </c>
      <c r="N866" s="108" t="s">
        <v>3090</v>
      </c>
    </row>
    <row r="867" spans="1:14">
      <c r="A867" s="108">
        <v>860</v>
      </c>
      <c r="B867" s="108">
        <f t="shared" si="91"/>
        <v>368</v>
      </c>
      <c r="C867" s="108">
        <f t="shared" si="92"/>
        <v>0</v>
      </c>
      <c r="F867" s="108" t="s">
        <v>3091</v>
      </c>
      <c r="G867" s="108">
        <v>16</v>
      </c>
      <c r="H867" s="108">
        <v>0</v>
      </c>
      <c r="I867" s="108">
        <v>20</v>
      </c>
      <c r="J867" s="108">
        <v>-22</v>
      </c>
      <c r="K867" s="108">
        <v>-37</v>
      </c>
      <c r="L867" s="108">
        <v>-17</v>
      </c>
      <c r="M867" s="108" t="s">
        <v>3092</v>
      </c>
      <c r="N867" s="108" t="s">
        <v>3093</v>
      </c>
    </row>
    <row r="868" spans="1:14">
      <c r="A868" s="108">
        <v>861</v>
      </c>
      <c r="B868" s="108">
        <f t="shared" si="91"/>
        <v>368</v>
      </c>
      <c r="C868" s="108">
        <f t="shared" si="92"/>
        <v>0</v>
      </c>
      <c r="F868" s="108" t="s">
        <v>3094</v>
      </c>
      <c r="G868" s="108">
        <v>16</v>
      </c>
      <c r="H868" s="108">
        <v>50</v>
      </c>
      <c r="I868" s="108">
        <v>9.8000000000000007</v>
      </c>
      <c r="J868" s="108">
        <v>-34</v>
      </c>
      <c r="K868" s="108">
        <v>-17</v>
      </c>
      <c r="L868" s="108">
        <v>-35</v>
      </c>
      <c r="M868" s="108" t="s">
        <v>3095</v>
      </c>
      <c r="N868" s="108" t="s">
        <v>3096</v>
      </c>
    </row>
    <row r="869" spans="1:14">
      <c r="A869" s="108">
        <v>862</v>
      </c>
      <c r="B869" s="108">
        <f t="shared" si="91"/>
        <v>368</v>
      </c>
      <c r="C869" s="108">
        <f t="shared" si="92"/>
        <v>0</v>
      </c>
      <c r="F869" s="108" t="s">
        <v>3097</v>
      </c>
      <c r="G869" s="108">
        <v>16</v>
      </c>
      <c r="H869" s="108">
        <v>54</v>
      </c>
      <c r="I869" s="108">
        <v>33</v>
      </c>
      <c r="J869" s="108">
        <v>-42</v>
      </c>
      <c r="K869" s="108">
        <v>-21</v>
      </c>
      <c r="L869" s="108">
        <v>-41</v>
      </c>
      <c r="M869" s="108" t="s">
        <v>3098</v>
      </c>
      <c r="N869" s="108" t="s">
        <v>3099</v>
      </c>
    </row>
    <row r="870" spans="1:14">
      <c r="A870" s="108">
        <v>863</v>
      </c>
      <c r="B870" s="108">
        <f t="shared" si="91"/>
        <v>368</v>
      </c>
      <c r="C870" s="108">
        <f t="shared" si="92"/>
        <v>0</v>
      </c>
      <c r="F870" s="108" t="s">
        <v>3100</v>
      </c>
      <c r="G870" s="108">
        <v>17</v>
      </c>
      <c r="H870" s="108">
        <v>12</v>
      </c>
      <c r="I870" s="108">
        <v>9.1999999999999993</v>
      </c>
      <c r="J870" s="108">
        <v>-43</v>
      </c>
      <c r="K870" s="108">
        <v>-14</v>
      </c>
      <c r="L870" s="108">
        <v>-21</v>
      </c>
      <c r="M870" s="108" t="s">
        <v>3101</v>
      </c>
      <c r="N870" s="108" t="s">
        <v>3102</v>
      </c>
    </row>
    <row r="871" spans="1:14">
      <c r="A871" s="108">
        <v>864</v>
      </c>
      <c r="B871" s="108">
        <f t="shared" si="91"/>
        <v>368</v>
      </c>
      <c r="C871" s="108">
        <f t="shared" si="92"/>
        <v>0</v>
      </c>
      <c r="F871" s="108" t="s">
        <v>3103</v>
      </c>
      <c r="G871" s="108">
        <v>17</v>
      </c>
      <c r="H871" s="108">
        <v>37</v>
      </c>
      <c r="I871" s="108">
        <v>19.2</v>
      </c>
      <c r="J871" s="108">
        <v>-42</v>
      </c>
      <c r="K871" s="108">
        <v>-59</v>
      </c>
      <c r="L871" s="108">
        <v>-52</v>
      </c>
      <c r="M871" s="108" t="s">
        <v>3104</v>
      </c>
      <c r="N871" s="108" t="s">
        <v>3105</v>
      </c>
    </row>
    <row r="872" spans="1:14">
      <c r="A872" s="108">
        <v>865</v>
      </c>
      <c r="B872" s="108">
        <f t="shared" si="91"/>
        <v>368</v>
      </c>
      <c r="C872" s="108">
        <f t="shared" si="92"/>
        <v>0</v>
      </c>
      <c r="F872" s="108" t="s">
        <v>3106</v>
      </c>
      <c r="G872" s="108">
        <v>17</v>
      </c>
      <c r="H872" s="108">
        <v>47</v>
      </c>
      <c r="I872" s="108">
        <v>35.1</v>
      </c>
      <c r="J872" s="108">
        <v>-40</v>
      </c>
      <c r="K872" s="108">
        <v>-7</v>
      </c>
      <c r="L872" s="108">
        <v>-37</v>
      </c>
      <c r="M872" s="108" t="s">
        <v>3107</v>
      </c>
      <c r="N872" s="108" t="s">
        <v>3108</v>
      </c>
    </row>
    <row r="873" spans="1:14">
      <c r="A873" s="108">
        <v>866</v>
      </c>
      <c r="B873" s="108">
        <f t="shared" si="91"/>
        <v>368</v>
      </c>
      <c r="C873" s="108">
        <f t="shared" si="92"/>
        <v>0</v>
      </c>
      <c r="F873" s="108" t="s">
        <v>3109</v>
      </c>
      <c r="G873" s="108">
        <v>17</v>
      </c>
      <c r="H873" s="108">
        <v>42</v>
      </c>
      <c r="I873" s="108">
        <v>29.3</v>
      </c>
      <c r="J873" s="108">
        <v>-39</v>
      </c>
      <c r="K873" s="108">
        <v>-1</v>
      </c>
      <c r="L873" s="108">
        <v>-48</v>
      </c>
      <c r="M873" s="108" t="s">
        <v>3110</v>
      </c>
      <c r="N873" s="108" t="s">
        <v>3111</v>
      </c>
    </row>
    <row r="874" spans="1:14">
      <c r="A874" s="108">
        <v>867</v>
      </c>
      <c r="B874" s="108">
        <f t="shared" si="91"/>
        <v>368</v>
      </c>
      <c r="C874" s="108">
        <f t="shared" si="92"/>
        <v>0</v>
      </c>
      <c r="F874" s="108" t="s">
        <v>3112</v>
      </c>
      <c r="G874" s="108">
        <v>17</v>
      </c>
      <c r="H874" s="108">
        <v>33</v>
      </c>
      <c r="I874" s="108">
        <v>36.6</v>
      </c>
      <c r="J874" s="108">
        <v>-37</v>
      </c>
      <c r="K874" s="108">
        <v>-6</v>
      </c>
      <c r="L874" s="108">
        <v>-14</v>
      </c>
      <c r="M874" s="108" t="s">
        <v>3113</v>
      </c>
      <c r="N874" s="108" t="s">
        <v>3114</v>
      </c>
    </row>
    <row r="875" spans="1:14">
      <c r="A875" s="108">
        <v>868</v>
      </c>
      <c r="B875" s="108">
        <f t="shared" si="91"/>
        <v>368</v>
      </c>
      <c r="C875" s="108">
        <f t="shared" si="92"/>
        <v>0</v>
      </c>
      <c r="F875" s="108" t="s">
        <v>3115</v>
      </c>
      <c r="G875" s="108">
        <v>16</v>
      </c>
      <c r="H875" s="108">
        <v>51</v>
      </c>
      <c r="I875" s="108">
        <v>52.2</v>
      </c>
      <c r="J875" s="108">
        <v>-38</v>
      </c>
      <c r="K875" s="108">
        <v>-2</v>
      </c>
      <c r="L875" s="108">
        <v>-51</v>
      </c>
      <c r="M875" s="108" t="s">
        <v>3116</v>
      </c>
      <c r="N875" s="108" t="s">
        <v>3117</v>
      </c>
    </row>
    <row r="876" spans="1:14">
      <c r="A876" s="108">
        <v>869</v>
      </c>
      <c r="B876" s="108">
        <f t="shared" si="91"/>
        <v>368</v>
      </c>
      <c r="C876" s="108">
        <f t="shared" si="92"/>
        <v>0</v>
      </c>
      <c r="F876" s="108" t="s">
        <v>3118</v>
      </c>
      <c r="G876" s="108">
        <v>16</v>
      </c>
      <c r="H876" s="108">
        <v>11</v>
      </c>
      <c r="I876" s="108">
        <v>59.7</v>
      </c>
      <c r="J876" s="108">
        <v>-19</v>
      </c>
      <c r="K876" s="108">
        <v>-27</v>
      </c>
      <c r="L876" s="108">
        <v>-38</v>
      </c>
      <c r="M876" s="108" t="s">
        <v>3119</v>
      </c>
      <c r="N876" s="108" t="s">
        <v>3120</v>
      </c>
    </row>
    <row r="877" spans="1:14">
      <c r="A877" s="108">
        <v>870</v>
      </c>
      <c r="B877" s="108">
        <f t="shared" si="91"/>
        <v>368</v>
      </c>
      <c r="C877" s="108">
        <f t="shared" si="92"/>
        <v>0</v>
      </c>
      <c r="F877" s="108" t="s">
        <v>3121</v>
      </c>
      <c r="G877" s="108">
        <v>15</v>
      </c>
      <c r="H877" s="108">
        <v>58</v>
      </c>
      <c r="I877" s="108">
        <v>51.1</v>
      </c>
      <c r="J877" s="108">
        <v>-26</v>
      </c>
      <c r="K877" s="108">
        <v>-6</v>
      </c>
      <c r="L877" s="108">
        <v>-51</v>
      </c>
      <c r="M877" s="108" t="s">
        <v>3122</v>
      </c>
      <c r="N877" s="108" t="s">
        <v>3123</v>
      </c>
    </row>
    <row r="878" spans="1:14">
      <c r="A878" s="108">
        <v>871</v>
      </c>
      <c r="B878" s="108">
        <f t="shared" si="91"/>
        <v>368</v>
      </c>
      <c r="C878" s="108">
        <f t="shared" si="92"/>
        <v>0</v>
      </c>
      <c r="F878" s="108" t="s">
        <v>3124</v>
      </c>
      <c r="G878" s="108">
        <v>16</v>
      </c>
      <c r="H878" s="108">
        <v>21</v>
      </c>
      <c r="I878" s="108">
        <v>11.3</v>
      </c>
      <c r="J878" s="108">
        <v>-25</v>
      </c>
      <c r="K878" s="108">
        <v>-35</v>
      </c>
      <c r="L878" s="108">
        <v>-34</v>
      </c>
      <c r="M878" s="108" t="s">
        <v>3125</v>
      </c>
      <c r="N878" s="108" t="s">
        <v>3126</v>
      </c>
    </row>
    <row r="879" spans="1:14">
      <c r="A879" s="108">
        <v>872</v>
      </c>
      <c r="B879" s="108">
        <f t="shared" si="91"/>
        <v>368</v>
      </c>
      <c r="C879" s="108">
        <f t="shared" si="92"/>
        <v>0</v>
      </c>
      <c r="F879" s="108" t="s">
        <v>3127</v>
      </c>
      <c r="G879" s="108">
        <v>16</v>
      </c>
      <c r="H879" s="108">
        <v>35</v>
      </c>
      <c r="I879" s="108">
        <v>53</v>
      </c>
      <c r="J879" s="108">
        <v>-28</v>
      </c>
      <c r="K879" s="108">
        <v>-12</v>
      </c>
      <c r="L879" s="108">
        <v>-58</v>
      </c>
      <c r="M879" s="108" t="s">
        <v>3128</v>
      </c>
      <c r="N879" s="108" t="s">
        <v>3129</v>
      </c>
    </row>
    <row r="880" spans="1:14">
      <c r="A880" s="108">
        <v>873</v>
      </c>
      <c r="B880" s="108">
        <f t="shared" si="91"/>
        <v>368</v>
      </c>
      <c r="C880" s="108">
        <f t="shared" si="92"/>
        <v>0</v>
      </c>
      <c r="F880" s="108" t="s">
        <v>3130</v>
      </c>
      <c r="G880" s="108">
        <v>17</v>
      </c>
      <c r="H880" s="108">
        <v>30</v>
      </c>
      <c r="I880" s="108">
        <v>45.8</v>
      </c>
      <c r="J880" s="108">
        <v>-37</v>
      </c>
      <c r="K880" s="108">
        <v>-17</v>
      </c>
      <c r="L880" s="108">
        <v>-45</v>
      </c>
      <c r="M880" s="108" t="s">
        <v>3131</v>
      </c>
      <c r="N880" s="108" t="s">
        <v>3132</v>
      </c>
    </row>
    <row r="881" spans="1:14">
      <c r="A881" s="108">
        <v>874</v>
      </c>
      <c r="B881" s="108">
        <f t="shared" si="91"/>
        <v>368</v>
      </c>
      <c r="C881" s="108">
        <f t="shared" si="92"/>
        <v>0</v>
      </c>
      <c r="F881" s="108" t="s">
        <v>3133</v>
      </c>
      <c r="M881" s="108" t="s">
        <v>3134</v>
      </c>
      <c r="N881" s="108" t="s">
        <v>260</v>
      </c>
    </row>
    <row r="882" spans="1:14">
      <c r="A882" s="108">
        <v>875</v>
      </c>
      <c r="B882" s="108">
        <f t="shared" si="91"/>
        <v>368</v>
      </c>
      <c r="C882" s="108">
        <f t="shared" si="92"/>
        <v>0</v>
      </c>
      <c r="F882" s="108" t="s">
        <v>3135</v>
      </c>
      <c r="G882" s="108">
        <v>15</v>
      </c>
      <c r="H882" s="108">
        <v>34</v>
      </c>
      <c r="I882" s="108">
        <v>41.3</v>
      </c>
      <c r="J882" s="108">
        <v>26</v>
      </c>
      <c r="K882" s="108">
        <v>42</v>
      </c>
      <c r="L882" s="108">
        <v>53</v>
      </c>
      <c r="M882" s="108" t="s">
        <v>3136</v>
      </c>
      <c r="N882" s="108" t="s">
        <v>3137</v>
      </c>
    </row>
    <row r="883" spans="1:14">
      <c r="A883" s="108">
        <v>876</v>
      </c>
      <c r="B883" s="108">
        <f t="shared" si="91"/>
        <v>368</v>
      </c>
      <c r="C883" s="108">
        <f t="shared" si="92"/>
        <v>0</v>
      </c>
      <c r="F883" s="108" t="s">
        <v>3138</v>
      </c>
      <c r="G883" s="108">
        <v>15</v>
      </c>
      <c r="H883" s="108">
        <v>27</v>
      </c>
      <c r="I883" s="108">
        <v>49.7</v>
      </c>
      <c r="J883" s="108">
        <v>29</v>
      </c>
      <c r="K883" s="108">
        <v>6</v>
      </c>
      <c r="L883" s="108">
        <v>21</v>
      </c>
      <c r="M883" s="108" t="s">
        <v>3139</v>
      </c>
      <c r="N883" s="108" t="s">
        <v>3140</v>
      </c>
    </row>
    <row r="884" spans="1:14">
      <c r="A884" s="108">
        <v>877</v>
      </c>
      <c r="B884" s="108">
        <f t="shared" si="91"/>
        <v>368</v>
      </c>
      <c r="C884" s="108">
        <f t="shared" si="92"/>
        <v>0</v>
      </c>
      <c r="F884" s="108" t="s">
        <v>3141</v>
      </c>
      <c r="G884" s="108">
        <v>15</v>
      </c>
      <c r="H884" s="108">
        <v>42</v>
      </c>
      <c r="I884" s="108">
        <v>44.6</v>
      </c>
      <c r="J884" s="108">
        <v>26</v>
      </c>
      <c r="K884" s="108">
        <v>17</v>
      </c>
      <c r="L884" s="108">
        <v>44</v>
      </c>
      <c r="M884" s="108" t="s">
        <v>3142</v>
      </c>
      <c r="N884" s="108" t="s">
        <v>3143</v>
      </c>
    </row>
    <row r="885" spans="1:14">
      <c r="A885" s="108">
        <v>878</v>
      </c>
      <c r="B885" s="108">
        <f t="shared" si="91"/>
        <v>368</v>
      </c>
      <c r="C885" s="108">
        <f t="shared" si="92"/>
        <v>0</v>
      </c>
      <c r="F885" s="108" t="s">
        <v>3144</v>
      </c>
      <c r="G885" s="108">
        <v>15</v>
      </c>
      <c r="H885" s="108">
        <v>49</v>
      </c>
      <c r="I885" s="108">
        <v>35.6</v>
      </c>
      <c r="J885" s="108">
        <v>26</v>
      </c>
      <c r="K885" s="108">
        <v>4</v>
      </c>
      <c r="L885" s="108">
        <v>6</v>
      </c>
      <c r="M885" s="108" t="s">
        <v>3145</v>
      </c>
      <c r="N885" s="108" t="s">
        <v>3146</v>
      </c>
    </row>
    <row r="886" spans="1:14">
      <c r="A886" s="108">
        <v>879</v>
      </c>
      <c r="B886" s="108">
        <f t="shared" si="91"/>
        <v>368</v>
      </c>
      <c r="C886" s="108">
        <f t="shared" si="92"/>
        <v>0</v>
      </c>
      <c r="F886" s="108" t="s">
        <v>3147</v>
      </c>
      <c r="G886" s="108">
        <v>15</v>
      </c>
      <c r="H886" s="108">
        <v>57</v>
      </c>
      <c r="I886" s="108">
        <v>35.299999999999997</v>
      </c>
      <c r="J886" s="108">
        <v>26</v>
      </c>
      <c r="K886" s="108">
        <v>52</v>
      </c>
      <c r="L886" s="108">
        <v>40</v>
      </c>
      <c r="M886" s="108" t="s">
        <v>3148</v>
      </c>
      <c r="N886" s="108" t="s">
        <v>3149</v>
      </c>
    </row>
    <row r="887" spans="1:14">
      <c r="A887" s="108">
        <v>880</v>
      </c>
      <c r="B887" s="108">
        <f t="shared" si="91"/>
        <v>368</v>
      </c>
      <c r="C887" s="108">
        <f t="shared" si="92"/>
        <v>0</v>
      </c>
      <c r="F887" s="108" t="s">
        <v>3150</v>
      </c>
      <c r="G887" s="108">
        <v>15</v>
      </c>
      <c r="H887" s="108">
        <v>39</v>
      </c>
      <c r="I887" s="108">
        <v>22.2</v>
      </c>
      <c r="J887" s="108">
        <v>36</v>
      </c>
      <c r="K887" s="108">
        <v>38</v>
      </c>
      <c r="L887" s="108">
        <v>13</v>
      </c>
      <c r="M887" s="108" t="s">
        <v>3151</v>
      </c>
      <c r="N887" s="108" t="s">
        <v>3152</v>
      </c>
    </row>
    <row r="888" spans="1:14">
      <c r="A888" s="108">
        <v>881</v>
      </c>
      <c r="B888" s="108">
        <f t="shared" si="91"/>
        <v>368</v>
      </c>
      <c r="C888" s="108">
        <f t="shared" si="92"/>
        <v>0</v>
      </c>
      <c r="F888" s="108" t="s">
        <v>3153</v>
      </c>
      <c r="G888" s="108">
        <v>15</v>
      </c>
      <c r="H888" s="108">
        <v>32</v>
      </c>
      <c r="I888" s="108">
        <v>55.8</v>
      </c>
      <c r="J888" s="108">
        <v>31</v>
      </c>
      <c r="K888" s="108">
        <v>21</v>
      </c>
      <c r="L888" s="108">
        <v>33</v>
      </c>
      <c r="M888" s="108" t="s">
        <v>3154</v>
      </c>
      <c r="N888" s="108" t="s">
        <v>3155</v>
      </c>
    </row>
    <row r="889" spans="1:14">
      <c r="A889" s="108">
        <v>882</v>
      </c>
      <c r="B889" s="108">
        <f t="shared" si="91"/>
        <v>368</v>
      </c>
      <c r="C889" s="108">
        <f t="shared" si="92"/>
        <v>0</v>
      </c>
      <c r="F889" s="108" t="s">
        <v>3156</v>
      </c>
      <c r="G889" s="108">
        <v>16</v>
      </c>
      <c r="H889" s="108">
        <v>1</v>
      </c>
      <c r="I889" s="108">
        <v>26.6</v>
      </c>
      <c r="J889" s="108">
        <v>29</v>
      </c>
      <c r="K889" s="108">
        <v>51</v>
      </c>
      <c r="L889" s="108">
        <v>4</v>
      </c>
      <c r="M889" s="108" t="s">
        <v>3157</v>
      </c>
      <c r="N889" s="108" t="s">
        <v>3158</v>
      </c>
    </row>
    <row r="890" spans="1:14">
      <c r="A890" s="108">
        <v>883</v>
      </c>
      <c r="B890" s="108">
        <f t="shared" si="91"/>
        <v>368</v>
      </c>
      <c r="C890" s="108">
        <f t="shared" si="92"/>
        <v>0</v>
      </c>
      <c r="F890" s="108" t="s">
        <v>3159</v>
      </c>
      <c r="G890" s="108">
        <v>15</v>
      </c>
      <c r="H890" s="108">
        <v>51</v>
      </c>
      <c r="I890" s="108">
        <v>13.9</v>
      </c>
      <c r="J890" s="108">
        <v>35</v>
      </c>
      <c r="K890" s="108">
        <v>39</v>
      </c>
      <c r="L890" s="108">
        <v>27</v>
      </c>
      <c r="M890" s="108" t="s">
        <v>3160</v>
      </c>
      <c r="N890" s="108" t="s">
        <v>3161</v>
      </c>
    </row>
    <row r="891" spans="1:14">
      <c r="A891" s="108">
        <v>884</v>
      </c>
      <c r="B891" s="108">
        <f t="shared" si="91"/>
        <v>368</v>
      </c>
      <c r="C891" s="108">
        <f t="shared" si="92"/>
        <v>0</v>
      </c>
      <c r="F891" s="108" t="s">
        <v>3162</v>
      </c>
      <c r="G891" s="108">
        <v>15</v>
      </c>
      <c r="H891" s="108">
        <v>43</v>
      </c>
      <c r="I891" s="108">
        <v>59.3</v>
      </c>
      <c r="J891" s="108">
        <v>32</v>
      </c>
      <c r="K891" s="108">
        <v>30</v>
      </c>
      <c r="L891" s="108">
        <v>57</v>
      </c>
      <c r="M891" s="108" t="s">
        <v>3163</v>
      </c>
      <c r="N891" s="108" t="s">
        <v>3164</v>
      </c>
    </row>
    <row r="892" spans="1:14">
      <c r="A892" s="108">
        <v>885</v>
      </c>
      <c r="B892" s="108">
        <f t="shared" si="91"/>
        <v>368</v>
      </c>
      <c r="C892" s="108">
        <f t="shared" si="92"/>
        <v>0</v>
      </c>
      <c r="F892" s="108" t="s">
        <v>3165</v>
      </c>
      <c r="G892" s="108">
        <v>16</v>
      </c>
      <c r="H892" s="108">
        <v>1</v>
      </c>
      <c r="I892" s="108">
        <v>2.7</v>
      </c>
      <c r="J892" s="108">
        <v>33</v>
      </c>
      <c r="K892" s="108">
        <v>18</v>
      </c>
      <c r="L892" s="108">
        <v>13</v>
      </c>
      <c r="M892" s="108" t="s">
        <v>3166</v>
      </c>
      <c r="N892" s="108" t="s">
        <v>3167</v>
      </c>
    </row>
    <row r="893" spans="1:14">
      <c r="A893" s="108">
        <v>886</v>
      </c>
      <c r="B893" s="108">
        <f t="shared" si="91"/>
        <v>368</v>
      </c>
      <c r="C893" s="108">
        <f t="shared" si="92"/>
        <v>0</v>
      </c>
      <c r="F893" s="108" t="s">
        <v>3168</v>
      </c>
      <c r="G893" s="108">
        <v>16</v>
      </c>
      <c r="H893" s="108">
        <v>14</v>
      </c>
      <c r="I893" s="108">
        <v>40.9</v>
      </c>
      <c r="J893" s="108">
        <v>33</v>
      </c>
      <c r="K893" s="108">
        <v>51</v>
      </c>
      <c r="L893" s="108">
        <v>31</v>
      </c>
      <c r="M893" s="108" t="s">
        <v>3169</v>
      </c>
      <c r="N893" s="108" t="s">
        <v>3170</v>
      </c>
    </row>
    <row r="894" spans="1:14">
      <c r="A894" s="108">
        <v>887</v>
      </c>
      <c r="B894" s="108">
        <f t="shared" si="91"/>
        <v>368</v>
      </c>
      <c r="C894" s="108">
        <f t="shared" si="92"/>
        <v>0</v>
      </c>
      <c r="F894" s="108" t="s">
        <v>3171</v>
      </c>
      <c r="M894" s="108" t="s">
        <v>3172</v>
      </c>
      <c r="N894" s="108" t="s">
        <v>252</v>
      </c>
    </row>
    <row r="895" spans="1:14">
      <c r="A895" s="108">
        <v>888</v>
      </c>
      <c r="B895" s="108">
        <f t="shared" si="91"/>
        <v>368</v>
      </c>
      <c r="C895" s="108">
        <f t="shared" si="92"/>
        <v>0</v>
      </c>
      <c r="F895" s="108" t="s">
        <v>3173</v>
      </c>
      <c r="G895" s="108">
        <v>19</v>
      </c>
      <c r="H895" s="108">
        <v>9</v>
      </c>
      <c r="I895" s="108">
        <v>28.3</v>
      </c>
      <c r="J895" s="108">
        <v>-37</v>
      </c>
      <c r="K895" s="108">
        <v>-54</v>
      </c>
      <c r="L895" s="108">
        <v>-16</v>
      </c>
      <c r="M895" s="108" t="s">
        <v>3174</v>
      </c>
      <c r="N895" s="108" t="s">
        <v>3175</v>
      </c>
    </row>
    <row r="896" spans="1:14">
      <c r="A896" s="108">
        <v>889</v>
      </c>
      <c r="B896" s="108">
        <f t="shared" si="91"/>
        <v>368</v>
      </c>
      <c r="C896" s="108">
        <f t="shared" si="92"/>
        <v>0</v>
      </c>
      <c r="F896" s="108" t="s">
        <v>3176</v>
      </c>
      <c r="G896" s="108">
        <v>19</v>
      </c>
      <c r="H896" s="108">
        <v>10</v>
      </c>
      <c r="I896" s="108">
        <v>1.8</v>
      </c>
      <c r="J896" s="108">
        <v>-39</v>
      </c>
      <c r="K896" s="108">
        <v>-20</v>
      </c>
      <c r="L896" s="108">
        <v>-27</v>
      </c>
      <c r="M896" s="108" t="s">
        <v>3177</v>
      </c>
      <c r="N896" s="108" t="s">
        <v>3178</v>
      </c>
    </row>
    <row r="897" spans="1:14">
      <c r="A897" s="108">
        <v>890</v>
      </c>
      <c r="B897" s="108">
        <f t="shared" si="91"/>
        <v>368</v>
      </c>
      <c r="C897" s="108">
        <f t="shared" si="92"/>
        <v>0</v>
      </c>
      <c r="F897" s="108" t="s">
        <v>3179</v>
      </c>
      <c r="G897" s="108">
        <v>19</v>
      </c>
      <c r="H897" s="108">
        <v>6</v>
      </c>
      <c r="I897" s="108">
        <v>25.1</v>
      </c>
      <c r="J897" s="108">
        <v>-37</v>
      </c>
      <c r="K897" s="108">
        <v>-3</v>
      </c>
      <c r="L897" s="108">
        <v>-48</v>
      </c>
      <c r="M897" s="108" t="s">
        <v>3180</v>
      </c>
      <c r="N897" s="108" t="s">
        <v>3181</v>
      </c>
    </row>
    <row r="898" spans="1:14">
      <c r="A898" s="108">
        <v>891</v>
      </c>
      <c r="B898" s="108">
        <f t="shared" si="91"/>
        <v>368</v>
      </c>
      <c r="C898" s="108">
        <f t="shared" si="92"/>
        <v>0</v>
      </c>
      <c r="F898" s="108" t="s">
        <v>641</v>
      </c>
      <c r="M898" s="108" t="s">
        <v>3182</v>
      </c>
      <c r="N898" s="108" t="s">
        <v>640</v>
      </c>
    </row>
    <row r="899" spans="1:14">
      <c r="A899" s="108">
        <v>892</v>
      </c>
      <c r="B899" s="108">
        <f t="shared" si="91"/>
        <v>368</v>
      </c>
      <c r="C899" s="108">
        <f t="shared" si="92"/>
        <v>0</v>
      </c>
      <c r="F899" s="108" t="s">
        <v>3183</v>
      </c>
      <c r="G899" s="108">
        <v>4</v>
      </c>
      <c r="H899" s="108">
        <v>35</v>
      </c>
      <c r="I899" s="108">
        <v>55.2</v>
      </c>
      <c r="J899" s="108">
        <v>16</v>
      </c>
      <c r="K899" s="108">
        <v>30</v>
      </c>
      <c r="L899" s="108">
        <v>33</v>
      </c>
      <c r="M899" s="108" t="s">
        <v>3184</v>
      </c>
      <c r="N899" s="108" t="s">
        <v>3185</v>
      </c>
    </row>
    <row r="900" spans="1:14">
      <c r="A900" s="108">
        <v>893</v>
      </c>
      <c r="B900" s="108">
        <f t="shared" si="91"/>
        <v>368</v>
      </c>
      <c r="C900" s="108">
        <f t="shared" si="92"/>
        <v>0</v>
      </c>
      <c r="F900" s="108" t="s">
        <v>3186</v>
      </c>
      <c r="G900" s="108">
        <v>5</v>
      </c>
      <c r="H900" s="108">
        <v>26</v>
      </c>
      <c r="I900" s="108">
        <v>17.5</v>
      </c>
      <c r="J900" s="108">
        <v>28</v>
      </c>
      <c r="K900" s="108">
        <v>38</v>
      </c>
      <c r="L900" s="108">
        <v>27</v>
      </c>
      <c r="M900" s="108" t="s">
        <v>3187</v>
      </c>
      <c r="N900" s="108" t="s">
        <v>3188</v>
      </c>
    </row>
    <row r="901" spans="1:14">
      <c r="A901" s="108">
        <v>894</v>
      </c>
      <c r="B901" s="108">
        <f t="shared" si="91"/>
        <v>368</v>
      </c>
      <c r="C901" s="108">
        <f t="shared" si="92"/>
        <v>0</v>
      </c>
      <c r="F901" s="108" t="s">
        <v>3189</v>
      </c>
      <c r="G901" s="108">
        <v>5</v>
      </c>
      <c r="H901" s="108">
        <v>37</v>
      </c>
      <c r="I901" s="108">
        <v>38.700000000000003</v>
      </c>
      <c r="J901" s="108">
        <v>21</v>
      </c>
      <c r="K901" s="108">
        <v>8</v>
      </c>
      <c r="L901" s="108">
        <v>33</v>
      </c>
      <c r="M901" s="108" t="s">
        <v>3190</v>
      </c>
      <c r="N901" s="108" t="s">
        <v>3191</v>
      </c>
    </row>
    <row r="902" spans="1:14">
      <c r="A902" s="108">
        <v>895</v>
      </c>
      <c r="B902" s="108">
        <f t="shared" ref="B902:B965" si="93">IF(B901=F902,A902,B901)</f>
        <v>368</v>
      </c>
      <c r="C902" s="108">
        <f t="shared" ref="C902:C965" si="94" xml:space="preserve"> IF(C901=F902,A902,C901)</f>
        <v>0</v>
      </c>
      <c r="F902" s="108" t="s">
        <v>3192</v>
      </c>
      <c r="G902" s="108">
        <v>3</v>
      </c>
      <c r="H902" s="108">
        <v>47</v>
      </c>
      <c r="I902" s="108">
        <v>29.08</v>
      </c>
      <c r="J902" s="108">
        <v>24</v>
      </c>
      <c r="K902" s="108">
        <v>6</v>
      </c>
      <c r="L902" s="108">
        <v>18</v>
      </c>
      <c r="M902" s="108" t="s">
        <v>3193</v>
      </c>
      <c r="N902" s="108" t="s">
        <v>3194</v>
      </c>
    </row>
    <row r="903" spans="1:14">
      <c r="A903" s="108">
        <v>896</v>
      </c>
      <c r="B903" s="108">
        <f t="shared" si="93"/>
        <v>368</v>
      </c>
      <c r="C903" s="108">
        <f t="shared" si="94"/>
        <v>0</v>
      </c>
      <c r="F903" s="108" t="s">
        <v>3195</v>
      </c>
      <c r="G903" s="108">
        <v>4</v>
      </c>
      <c r="H903" s="108">
        <v>0</v>
      </c>
      <c r="I903" s="108">
        <v>40.799999999999997</v>
      </c>
      <c r="J903" s="108">
        <v>12</v>
      </c>
      <c r="K903" s="108">
        <v>29</v>
      </c>
      <c r="L903" s="108">
        <v>25</v>
      </c>
      <c r="M903" s="108" t="s">
        <v>3196</v>
      </c>
      <c r="N903" s="108" t="s">
        <v>3197</v>
      </c>
    </row>
    <row r="904" spans="1:14">
      <c r="A904" s="108">
        <v>897</v>
      </c>
      <c r="B904" s="108">
        <f t="shared" si="93"/>
        <v>368</v>
      </c>
      <c r="C904" s="108">
        <f t="shared" si="94"/>
        <v>0</v>
      </c>
      <c r="F904" s="108" t="s">
        <v>588</v>
      </c>
      <c r="M904" s="108" t="s">
        <v>3198</v>
      </c>
      <c r="N904" s="108" t="s">
        <v>587</v>
      </c>
    </row>
    <row r="905" spans="1:14">
      <c r="A905" s="108">
        <v>898</v>
      </c>
      <c r="B905" s="108">
        <f t="shared" si="93"/>
        <v>368</v>
      </c>
      <c r="C905" s="108">
        <f t="shared" si="94"/>
        <v>0</v>
      </c>
      <c r="F905" s="108" t="s">
        <v>3199</v>
      </c>
      <c r="G905" s="108">
        <v>19</v>
      </c>
      <c r="H905" s="108">
        <v>23</v>
      </c>
      <c r="I905" s="108">
        <v>53.2</v>
      </c>
      <c r="J905" s="108">
        <v>-40</v>
      </c>
      <c r="K905" s="108">
        <v>-36</v>
      </c>
      <c r="L905" s="108">
        <v>-57</v>
      </c>
      <c r="M905" s="108" t="s">
        <v>3200</v>
      </c>
      <c r="N905" s="108" t="s">
        <v>3201</v>
      </c>
    </row>
    <row r="906" spans="1:14">
      <c r="A906" s="108">
        <v>899</v>
      </c>
      <c r="B906" s="108">
        <f t="shared" si="93"/>
        <v>368</v>
      </c>
      <c r="C906" s="108">
        <f t="shared" si="94"/>
        <v>0</v>
      </c>
      <c r="F906" s="108" t="s">
        <v>3202</v>
      </c>
      <c r="G906" s="108">
        <v>19</v>
      </c>
      <c r="H906" s="108">
        <v>22</v>
      </c>
      <c r="I906" s="108">
        <v>38.299999999999997</v>
      </c>
      <c r="J906" s="108">
        <v>-44</v>
      </c>
      <c r="K906" s="108">
        <v>-27</v>
      </c>
      <c r="L906" s="108">
        <v>-32</v>
      </c>
      <c r="M906" s="108" t="s">
        <v>3203</v>
      </c>
      <c r="N906" s="108" t="s">
        <v>3204</v>
      </c>
    </row>
    <row r="907" spans="1:14">
      <c r="A907" s="108">
        <v>900</v>
      </c>
      <c r="B907" s="108">
        <f t="shared" si="93"/>
        <v>368</v>
      </c>
      <c r="C907" s="108">
        <f t="shared" si="94"/>
        <v>0</v>
      </c>
      <c r="F907" s="108" t="s">
        <v>3205</v>
      </c>
      <c r="G907" s="108">
        <v>18</v>
      </c>
      <c r="H907" s="108">
        <v>5</v>
      </c>
      <c r="I907" s="108">
        <v>48.5</v>
      </c>
      <c r="J907" s="108">
        <v>-30</v>
      </c>
      <c r="K907" s="108">
        <v>-25</v>
      </c>
      <c r="L907" s="108">
        <v>-27</v>
      </c>
      <c r="M907" s="108" t="s">
        <v>3206</v>
      </c>
      <c r="N907" s="108" t="s">
        <v>3207</v>
      </c>
    </row>
    <row r="908" spans="1:14">
      <c r="A908" s="108">
        <v>901</v>
      </c>
      <c r="B908" s="108">
        <f t="shared" si="93"/>
        <v>368</v>
      </c>
      <c r="C908" s="108">
        <f t="shared" si="94"/>
        <v>0</v>
      </c>
      <c r="F908" s="108" t="s">
        <v>3208</v>
      </c>
      <c r="G908" s="108">
        <v>18</v>
      </c>
      <c r="H908" s="108">
        <v>20</v>
      </c>
      <c r="I908" s="108">
        <v>59.6</v>
      </c>
      <c r="J908" s="108">
        <v>-29</v>
      </c>
      <c r="K908" s="108">
        <v>-49</v>
      </c>
      <c r="L908" s="108">
        <v>-41</v>
      </c>
      <c r="M908" s="108" t="s">
        <v>3209</v>
      </c>
      <c r="N908" s="108" t="s">
        <v>3210</v>
      </c>
    </row>
    <row r="909" spans="1:14">
      <c r="A909" s="108">
        <v>902</v>
      </c>
      <c r="B909" s="108">
        <f t="shared" si="93"/>
        <v>368</v>
      </c>
      <c r="C909" s="108">
        <f t="shared" si="94"/>
        <v>0</v>
      </c>
      <c r="F909" s="108" t="s">
        <v>3211</v>
      </c>
      <c r="G909" s="108">
        <v>18</v>
      </c>
      <c r="H909" s="108">
        <v>24</v>
      </c>
      <c r="I909" s="108">
        <v>10.3</v>
      </c>
      <c r="J909" s="108">
        <v>-34</v>
      </c>
      <c r="K909" s="108">
        <v>-23</v>
      </c>
      <c r="L909" s="108">
        <v>-5</v>
      </c>
      <c r="M909" s="108" t="s">
        <v>3212</v>
      </c>
      <c r="N909" s="108" t="s">
        <v>3213</v>
      </c>
    </row>
    <row r="910" spans="1:14">
      <c r="A910" s="108">
        <v>903</v>
      </c>
      <c r="B910" s="108">
        <f t="shared" si="93"/>
        <v>368</v>
      </c>
      <c r="C910" s="108">
        <f t="shared" si="94"/>
        <v>0</v>
      </c>
      <c r="F910" s="108" t="s">
        <v>3214</v>
      </c>
      <c r="G910" s="108">
        <v>19</v>
      </c>
      <c r="H910" s="108">
        <v>2</v>
      </c>
      <c r="I910" s="108">
        <v>36.700000000000003</v>
      </c>
      <c r="J910" s="108">
        <v>-29</v>
      </c>
      <c r="K910" s="108">
        <v>-52</v>
      </c>
      <c r="L910" s="108">
        <v>-48</v>
      </c>
      <c r="M910" s="108" t="s">
        <v>3215</v>
      </c>
      <c r="N910" s="108" t="s">
        <v>3216</v>
      </c>
    </row>
    <row r="911" spans="1:14">
      <c r="A911" s="108">
        <v>904</v>
      </c>
      <c r="B911" s="108">
        <f t="shared" si="93"/>
        <v>368</v>
      </c>
      <c r="C911" s="108">
        <f t="shared" si="94"/>
        <v>0</v>
      </c>
      <c r="F911" s="108" t="s">
        <v>3217</v>
      </c>
      <c r="G911" s="108">
        <v>18</v>
      </c>
      <c r="H911" s="108">
        <v>17</v>
      </c>
      <c r="I911" s="108">
        <v>37.6</v>
      </c>
      <c r="J911" s="108">
        <v>-36</v>
      </c>
      <c r="K911" s="108">
        <v>-45</v>
      </c>
      <c r="L911" s="108">
        <v>-42</v>
      </c>
      <c r="M911" s="108" t="s">
        <v>3218</v>
      </c>
      <c r="N911" s="108" t="s">
        <v>3219</v>
      </c>
    </row>
    <row r="912" spans="1:14">
      <c r="A912" s="108">
        <v>905</v>
      </c>
      <c r="B912" s="108">
        <f t="shared" si="93"/>
        <v>368</v>
      </c>
      <c r="C912" s="108">
        <f t="shared" si="94"/>
        <v>0</v>
      </c>
      <c r="F912" s="108" t="s">
        <v>3220</v>
      </c>
      <c r="G912" s="108">
        <v>18</v>
      </c>
      <c r="H912" s="108">
        <v>27</v>
      </c>
      <c r="I912" s="108">
        <v>58.2</v>
      </c>
      <c r="J912" s="108">
        <v>-25</v>
      </c>
      <c r="K912" s="108">
        <v>-25</v>
      </c>
      <c r="L912" s="108">
        <v>-18</v>
      </c>
      <c r="M912" s="108" t="s">
        <v>3221</v>
      </c>
      <c r="N912" s="108" t="s">
        <v>3222</v>
      </c>
    </row>
    <row r="913" spans="1:14">
      <c r="A913" s="108">
        <v>906</v>
      </c>
      <c r="B913" s="108">
        <f t="shared" si="93"/>
        <v>368</v>
      </c>
      <c r="C913" s="108">
        <f t="shared" si="94"/>
        <v>0</v>
      </c>
      <c r="F913" s="108" t="s">
        <v>3223</v>
      </c>
      <c r="G913" s="108">
        <v>18</v>
      </c>
      <c r="H913" s="108">
        <v>57</v>
      </c>
      <c r="I913" s="108">
        <v>43.8</v>
      </c>
      <c r="J913" s="108">
        <v>-21</v>
      </c>
      <c r="K913" s="108">
        <v>-6</v>
      </c>
      <c r="L913" s="108">
        <v>-24</v>
      </c>
      <c r="M913" s="108" t="s">
        <v>3224</v>
      </c>
      <c r="N913" s="108" t="s">
        <v>3225</v>
      </c>
    </row>
    <row r="914" spans="1:14">
      <c r="A914" s="108">
        <v>907</v>
      </c>
      <c r="B914" s="108">
        <f t="shared" si="93"/>
        <v>368</v>
      </c>
      <c r="C914" s="108">
        <f t="shared" si="94"/>
        <v>0</v>
      </c>
      <c r="F914" s="108" t="s">
        <v>3226</v>
      </c>
      <c r="G914" s="108">
        <v>19</v>
      </c>
      <c r="H914" s="108">
        <v>4</v>
      </c>
      <c r="I914" s="108">
        <v>41</v>
      </c>
      <c r="J914" s="108">
        <v>-21</v>
      </c>
      <c r="K914" s="108">
        <v>-44</v>
      </c>
      <c r="L914" s="108">
        <v>-29</v>
      </c>
      <c r="M914" s="108" t="s">
        <v>3227</v>
      </c>
      <c r="N914" s="108" t="s">
        <v>3228</v>
      </c>
    </row>
    <row r="915" spans="1:14">
      <c r="A915" s="108">
        <v>908</v>
      </c>
      <c r="B915" s="108">
        <f t="shared" si="93"/>
        <v>368</v>
      </c>
      <c r="C915" s="108">
        <f t="shared" si="94"/>
        <v>0</v>
      </c>
      <c r="F915" s="108" t="s">
        <v>3229</v>
      </c>
      <c r="G915" s="108">
        <v>19</v>
      </c>
      <c r="H915" s="108">
        <v>9</v>
      </c>
      <c r="I915" s="108">
        <v>45.8</v>
      </c>
      <c r="J915" s="108">
        <v>-21</v>
      </c>
      <c r="K915" s="108">
        <v>-1</v>
      </c>
      <c r="L915" s="108">
        <v>-25</v>
      </c>
      <c r="M915" s="108" t="s">
        <v>3230</v>
      </c>
      <c r="N915" s="108" t="s">
        <v>3231</v>
      </c>
    </row>
    <row r="916" spans="1:14">
      <c r="A916" s="108">
        <v>909</v>
      </c>
      <c r="B916" s="108">
        <f t="shared" si="93"/>
        <v>368</v>
      </c>
      <c r="C916" s="108">
        <f t="shared" si="94"/>
        <v>0</v>
      </c>
      <c r="F916" s="108" t="s">
        <v>3232</v>
      </c>
      <c r="G916" s="108">
        <v>18</v>
      </c>
      <c r="H916" s="108">
        <v>55</v>
      </c>
      <c r="I916" s="108">
        <v>15.9</v>
      </c>
      <c r="J916" s="108">
        <v>-26</v>
      </c>
      <c r="K916" s="108">
        <v>-17</v>
      </c>
      <c r="L916" s="108">
        <v>-48</v>
      </c>
      <c r="M916" s="108" t="s">
        <v>3233</v>
      </c>
      <c r="N916" s="108" t="s">
        <v>3234</v>
      </c>
    </row>
    <row r="917" spans="1:14">
      <c r="A917" s="108">
        <v>910</v>
      </c>
      <c r="B917" s="108">
        <f t="shared" si="93"/>
        <v>368</v>
      </c>
      <c r="C917" s="108">
        <f t="shared" si="94"/>
        <v>0</v>
      </c>
      <c r="F917" s="108" t="s">
        <v>3235</v>
      </c>
      <c r="G917" s="108">
        <v>19</v>
      </c>
      <c r="H917" s="108">
        <v>6</v>
      </c>
      <c r="I917" s="108">
        <v>56.4</v>
      </c>
      <c r="J917" s="108">
        <v>-27</v>
      </c>
      <c r="K917" s="108">
        <v>-40</v>
      </c>
      <c r="L917" s="108">
        <v>-14</v>
      </c>
      <c r="M917" s="108" t="s">
        <v>3236</v>
      </c>
      <c r="N917" s="108" t="s">
        <v>3237</v>
      </c>
    </row>
    <row r="918" spans="1:14">
      <c r="A918" s="108">
        <v>911</v>
      </c>
      <c r="B918" s="108">
        <f t="shared" si="93"/>
        <v>368</v>
      </c>
      <c r="C918" s="108">
        <f t="shared" si="94"/>
        <v>0</v>
      </c>
      <c r="F918" s="108" t="s">
        <v>3238</v>
      </c>
      <c r="G918" s="108">
        <v>18</v>
      </c>
      <c r="H918" s="108">
        <v>45</v>
      </c>
      <c r="I918" s="108">
        <v>39.4</v>
      </c>
      <c r="J918" s="108">
        <v>-26</v>
      </c>
      <c r="K918" s="108">
        <v>-59</v>
      </c>
      <c r="L918" s="108">
        <v>-27</v>
      </c>
      <c r="M918" s="108" t="s">
        <v>3239</v>
      </c>
      <c r="N918" s="108" t="s">
        <v>3240</v>
      </c>
    </row>
    <row r="919" spans="1:14">
      <c r="A919" s="108">
        <v>912</v>
      </c>
      <c r="B919" s="108">
        <f t="shared" si="93"/>
        <v>368</v>
      </c>
      <c r="C919" s="108">
        <f t="shared" si="94"/>
        <v>0</v>
      </c>
      <c r="F919" s="108" t="s">
        <v>650</v>
      </c>
      <c r="M919" s="108" t="s">
        <v>3241</v>
      </c>
      <c r="N919" s="108" t="s">
        <v>648</v>
      </c>
    </row>
    <row r="920" spans="1:14">
      <c r="A920" s="108">
        <v>913</v>
      </c>
      <c r="B920" s="108">
        <f t="shared" si="93"/>
        <v>368</v>
      </c>
      <c r="C920" s="108">
        <f t="shared" si="94"/>
        <v>0</v>
      </c>
      <c r="F920" s="108" t="s">
        <v>3242</v>
      </c>
      <c r="G920" s="108">
        <v>1</v>
      </c>
      <c r="H920" s="108">
        <v>53</v>
      </c>
      <c r="I920" s="108">
        <v>4.9000000000000004</v>
      </c>
      <c r="J920" s="108">
        <v>29</v>
      </c>
      <c r="K920" s="108">
        <v>34</v>
      </c>
      <c r="L920" s="108">
        <v>44</v>
      </c>
      <c r="M920" s="108" t="s">
        <v>3243</v>
      </c>
      <c r="N920" s="108" t="s">
        <v>3244</v>
      </c>
    </row>
    <row r="921" spans="1:14">
      <c r="A921" s="108">
        <v>914</v>
      </c>
      <c r="B921" s="108">
        <f t="shared" si="93"/>
        <v>368</v>
      </c>
      <c r="C921" s="108">
        <f t="shared" si="94"/>
        <v>0</v>
      </c>
      <c r="F921" s="108" t="s">
        <v>3245</v>
      </c>
      <c r="G921" s="108">
        <v>2</v>
      </c>
      <c r="H921" s="108">
        <v>9</v>
      </c>
      <c r="I921" s="108">
        <v>32.6</v>
      </c>
      <c r="J921" s="108">
        <v>34</v>
      </c>
      <c r="K921" s="108">
        <v>59</v>
      </c>
      <c r="L921" s="108">
        <v>14</v>
      </c>
      <c r="M921" s="108" t="s">
        <v>3246</v>
      </c>
      <c r="N921" s="108" t="s">
        <v>3247</v>
      </c>
    </row>
    <row r="922" spans="1:14">
      <c r="A922" s="108">
        <v>915</v>
      </c>
      <c r="B922" s="108">
        <f t="shared" si="93"/>
        <v>368</v>
      </c>
      <c r="C922" s="108">
        <f t="shared" si="94"/>
        <v>0</v>
      </c>
      <c r="F922" s="108" t="s">
        <v>3248</v>
      </c>
      <c r="G922" s="108">
        <v>2</v>
      </c>
      <c r="H922" s="108">
        <v>17</v>
      </c>
      <c r="I922" s="108">
        <v>18.899999999999999</v>
      </c>
      <c r="J922" s="108">
        <v>33</v>
      </c>
      <c r="K922" s="108">
        <v>50</v>
      </c>
      <c r="L922" s="108">
        <v>50</v>
      </c>
      <c r="M922" s="108" t="s">
        <v>3249</v>
      </c>
      <c r="N922" s="108" t="s">
        <v>3250</v>
      </c>
    </row>
    <row r="923" spans="1:14">
      <c r="A923" s="108">
        <v>916</v>
      </c>
      <c r="B923" s="108">
        <f t="shared" si="93"/>
        <v>368</v>
      </c>
      <c r="C923" s="108">
        <f t="shared" si="94"/>
        <v>0</v>
      </c>
      <c r="F923" s="108" t="s">
        <v>172</v>
      </c>
      <c r="M923" s="108" t="s">
        <v>3251</v>
      </c>
      <c r="N923" s="108" t="s">
        <v>171</v>
      </c>
    </row>
    <row r="924" spans="1:14">
      <c r="A924" s="108">
        <v>917</v>
      </c>
      <c r="B924" s="108">
        <f t="shared" si="93"/>
        <v>368</v>
      </c>
      <c r="C924" s="108">
        <f t="shared" si="94"/>
        <v>0</v>
      </c>
      <c r="F924" s="108" t="s">
        <v>72</v>
      </c>
      <c r="M924" s="108" t="s">
        <v>3252</v>
      </c>
      <c r="N924" s="108" t="s">
        <v>70</v>
      </c>
    </row>
    <row r="925" spans="1:14">
      <c r="A925" s="108">
        <v>918</v>
      </c>
      <c r="B925" s="108">
        <f t="shared" si="93"/>
        <v>368</v>
      </c>
      <c r="C925" s="108">
        <f t="shared" si="94"/>
        <v>0</v>
      </c>
      <c r="F925" s="108" t="s">
        <v>3253</v>
      </c>
      <c r="G925" s="108">
        <v>22</v>
      </c>
      <c r="H925" s="108">
        <v>5</v>
      </c>
      <c r="I925" s="108">
        <v>47</v>
      </c>
      <c r="J925" s="108">
        <v>0</v>
      </c>
      <c r="K925" s="108">
        <v>-19</v>
      </c>
      <c r="L925" s="108">
        <v>-11</v>
      </c>
      <c r="M925" s="108" t="s">
        <v>3254</v>
      </c>
      <c r="N925" s="108" t="s">
        <v>3255</v>
      </c>
    </row>
    <row r="926" spans="1:14">
      <c r="A926" s="108">
        <v>919</v>
      </c>
      <c r="B926" s="108">
        <f t="shared" si="93"/>
        <v>368</v>
      </c>
      <c r="C926" s="108">
        <f t="shared" si="94"/>
        <v>0</v>
      </c>
      <c r="F926" s="108" t="s">
        <v>3256</v>
      </c>
      <c r="G926" s="108">
        <v>21</v>
      </c>
      <c r="H926" s="108">
        <v>31</v>
      </c>
      <c r="I926" s="108">
        <v>33.5</v>
      </c>
      <c r="J926" s="108">
        <v>-5</v>
      </c>
      <c r="K926" s="108">
        <v>-34</v>
      </c>
      <c r="L926" s="108">
        <v>-16</v>
      </c>
      <c r="M926" s="108" t="s">
        <v>3257</v>
      </c>
      <c r="N926" s="108" t="s">
        <v>3258</v>
      </c>
    </row>
    <row r="927" spans="1:14">
      <c r="A927" s="108">
        <v>920</v>
      </c>
      <c r="B927" s="108">
        <f t="shared" si="93"/>
        <v>368</v>
      </c>
      <c r="C927" s="108">
        <f t="shared" si="94"/>
        <v>0</v>
      </c>
      <c r="F927" s="108" t="s">
        <v>3259</v>
      </c>
      <c r="G927" s="108">
        <v>22</v>
      </c>
      <c r="H927" s="108">
        <v>21</v>
      </c>
      <c r="I927" s="108">
        <v>39.4</v>
      </c>
      <c r="J927" s="108">
        <v>-1</v>
      </c>
      <c r="K927" s="108">
        <v>-23</v>
      </c>
      <c r="L927" s="108">
        <v>-14</v>
      </c>
      <c r="M927" s="108" t="s">
        <v>3260</v>
      </c>
      <c r="N927" s="108" t="s">
        <v>3261</v>
      </c>
    </row>
    <row r="928" spans="1:14">
      <c r="A928" s="108">
        <v>921</v>
      </c>
      <c r="B928" s="108">
        <f t="shared" si="93"/>
        <v>368</v>
      </c>
      <c r="C928" s="108">
        <f t="shared" si="94"/>
        <v>0</v>
      </c>
      <c r="F928" s="108" t="s">
        <v>3262</v>
      </c>
      <c r="G928" s="108">
        <v>22</v>
      </c>
      <c r="H928" s="108">
        <v>54</v>
      </c>
      <c r="I928" s="108">
        <v>39</v>
      </c>
      <c r="J928" s="108">
        <v>-15</v>
      </c>
      <c r="K928" s="108">
        <v>-49</v>
      </c>
      <c r="L928" s="108">
        <v>-15</v>
      </c>
      <c r="M928" s="108" t="s">
        <v>3263</v>
      </c>
      <c r="N928" s="108" t="s">
        <v>3264</v>
      </c>
    </row>
    <row r="929" spans="1:14">
      <c r="A929" s="108">
        <v>922</v>
      </c>
      <c r="B929" s="108">
        <f t="shared" si="93"/>
        <v>368</v>
      </c>
      <c r="C929" s="108">
        <f t="shared" si="94"/>
        <v>0</v>
      </c>
      <c r="F929" s="108" t="s">
        <v>3265</v>
      </c>
      <c r="G929" s="108">
        <v>20</v>
      </c>
      <c r="H929" s="108">
        <v>47</v>
      </c>
      <c r="I929" s="108">
        <v>40.6</v>
      </c>
      <c r="J929" s="108">
        <v>-9</v>
      </c>
      <c r="K929" s="108">
        <v>-29</v>
      </c>
      <c r="L929" s="108">
        <v>-45</v>
      </c>
      <c r="M929" s="108" t="s">
        <v>3266</v>
      </c>
      <c r="N929" s="108" t="s">
        <v>3267</v>
      </c>
    </row>
    <row r="930" spans="1:14">
      <c r="A930" s="108">
        <v>923</v>
      </c>
      <c r="B930" s="108">
        <f t="shared" si="93"/>
        <v>368</v>
      </c>
      <c r="C930" s="108">
        <f t="shared" si="94"/>
        <v>0</v>
      </c>
      <c r="F930" s="108" t="s">
        <v>3268</v>
      </c>
      <c r="G930" s="108">
        <v>22</v>
      </c>
      <c r="H930" s="108">
        <v>28</v>
      </c>
      <c r="I930" s="108">
        <v>49.9</v>
      </c>
      <c r="J930" s="108">
        <v>0</v>
      </c>
      <c r="K930" s="108">
        <v>-1</v>
      </c>
      <c r="L930" s="108">
        <v>-12</v>
      </c>
      <c r="M930" s="108" t="s">
        <v>3269</v>
      </c>
      <c r="N930" s="108" t="s">
        <v>3270</v>
      </c>
    </row>
    <row r="931" spans="1:14">
      <c r="A931" s="108">
        <v>924</v>
      </c>
      <c r="B931" s="108">
        <f t="shared" si="93"/>
        <v>368</v>
      </c>
      <c r="C931" s="108">
        <f t="shared" si="94"/>
        <v>0</v>
      </c>
      <c r="F931" s="108" t="s">
        <v>3271</v>
      </c>
      <c r="G931" s="108">
        <v>22</v>
      </c>
      <c r="H931" s="108">
        <v>35</v>
      </c>
      <c r="I931" s="108">
        <v>21.4</v>
      </c>
      <c r="J931" s="108">
        <v>0</v>
      </c>
      <c r="K931" s="108">
        <v>-7</v>
      </c>
      <c r="L931" s="108">
        <v>-3</v>
      </c>
      <c r="M931" s="108" t="s">
        <v>3272</v>
      </c>
      <c r="N931" s="108" t="s">
        <v>3273</v>
      </c>
    </row>
    <row r="932" spans="1:14">
      <c r="A932" s="108">
        <v>925</v>
      </c>
      <c r="B932" s="108">
        <f t="shared" si="93"/>
        <v>368</v>
      </c>
      <c r="C932" s="108">
        <f t="shared" si="94"/>
        <v>0</v>
      </c>
      <c r="F932" s="108" t="s">
        <v>3274</v>
      </c>
      <c r="G932" s="108">
        <v>22</v>
      </c>
      <c r="H932" s="108">
        <v>16</v>
      </c>
      <c r="I932" s="108">
        <v>50</v>
      </c>
      <c r="J932" s="108">
        <v>-7</v>
      </c>
      <c r="K932" s="108">
        <v>-47</v>
      </c>
      <c r="L932" s="108">
        <v>0</v>
      </c>
      <c r="M932" s="108" t="s">
        <v>3275</v>
      </c>
      <c r="N932" s="108" t="s">
        <v>3276</v>
      </c>
    </row>
    <row r="933" spans="1:14">
      <c r="A933" s="108">
        <v>926</v>
      </c>
      <c r="B933" s="108">
        <f t="shared" si="93"/>
        <v>368</v>
      </c>
      <c r="C933" s="108">
        <f t="shared" si="94"/>
        <v>0</v>
      </c>
      <c r="F933" s="108" t="s">
        <v>3277</v>
      </c>
      <c r="G933" s="108">
        <v>20</v>
      </c>
      <c r="H933" s="108">
        <v>47</v>
      </c>
      <c r="I933" s="108">
        <v>44.2</v>
      </c>
      <c r="J933" s="108">
        <v>-5</v>
      </c>
      <c r="K933" s="108">
        <v>-1</v>
      </c>
      <c r="L933" s="108">
        <v>-40</v>
      </c>
      <c r="M933" s="108" t="s">
        <v>3278</v>
      </c>
      <c r="N933" s="108" t="s">
        <v>3279</v>
      </c>
    </row>
    <row r="934" spans="1:14">
      <c r="A934" s="108">
        <v>927</v>
      </c>
      <c r="B934" s="108">
        <f t="shared" si="93"/>
        <v>368</v>
      </c>
      <c r="C934" s="108">
        <f t="shared" si="94"/>
        <v>0</v>
      </c>
      <c r="F934" s="108" t="s">
        <v>3280</v>
      </c>
      <c r="G934" s="108">
        <v>22</v>
      </c>
      <c r="H934" s="108">
        <v>52</v>
      </c>
      <c r="I934" s="108">
        <v>36.9</v>
      </c>
      <c r="J934" s="108">
        <v>-7</v>
      </c>
      <c r="K934" s="108">
        <v>-34</v>
      </c>
      <c r="L934" s="108">
        <v>-47</v>
      </c>
      <c r="M934" s="108" t="s">
        <v>3281</v>
      </c>
      <c r="N934" s="108" t="s">
        <v>3282</v>
      </c>
    </row>
    <row r="935" spans="1:14">
      <c r="A935" s="108">
        <v>928</v>
      </c>
      <c r="B935" s="108">
        <f t="shared" si="93"/>
        <v>368</v>
      </c>
      <c r="C935" s="108">
        <f t="shared" si="94"/>
        <v>0</v>
      </c>
      <c r="F935" s="108" t="s">
        <v>3283</v>
      </c>
      <c r="G935" s="108">
        <v>21</v>
      </c>
      <c r="H935" s="108">
        <v>9</v>
      </c>
      <c r="I935" s="108">
        <v>33.700000000000003</v>
      </c>
      <c r="J935" s="108">
        <v>-11</v>
      </c>
      <c r="K935" s="108">
        <v>-22</v>
      </c>
      <c r="L935" s="108">
        <v>-18</v>
      </c>
      <c r="M935" s="108" t="s">
        <v>3284</v>
      </c>
      <c r="N935" s="108" t="s">
        <v>3285</v>
      </c>
    </row>
    <row r="936" spans="1:14">
      <c r="A936" s="108">
        <v>929</v>
      </c>
      <c r="B936" s="108">
        <f t="shared" si="93"/>
        <v>368</v>
      </c>
      <c r="C936" s="108">
        <f t="shared" si="94"/>
        <v>0</v>
      </c>
      <c r="F936" s="108" t="s">
        <v>3286</v>
      </c>
      <c r="G936" s="108">
        <v>22</v>
      </c>
      <c r="H936" s="108">
        <v>25</v>
      </c>
      <c r="I936" s="108">
        <v>16.600000000000001</v>
      </c>
      <c r="J936" s="108">
        <v>1</v>
      </c>
      <c r="K936" s="108">
        <v>22</v>
      </c>
      <c r="L936" s="108">
        <v>39</v>
      </c>
      <c r="M936" s="108" t="s">
        <v>3287</v>
      </c>
      <c r="N936" s="108" t="s">
        <v>3288</v>
      </c>
    </row>
    <row r="937" spans="1:14">
      <c r="A937" s="108">
        <v>930</v>
      </c>
      <c r="B937" s="108">
        <f t="shared" si="93"/>
        <v>368</v>
      </c>
      <c r="C937" s="108">
        <f t="shared" si="94"/>
        <v>0</v>
      </c>
      <c r="F937" s="108" t="s">
        <v>3289</v>
      </c>
      <c r="G937" s="108">
        <v>23</v>
      </c>
      <c r="H937" s="108">
        <v>14</v>
      </c>
      <c r="I937" s="108">
        <v>19.399999999999999</v>
      </c>
      <c r="J937" s="108">
        <v>-6</v>
      </c>
      <c r="K937" s="108">
        <v>-2</v>
      </c>
      <c r="L937" s="108">
        <v>-56</v>
      </c>
      <c r="M937" s="108" t="s">
        <v>3290</v>
      </c>
      <c r="N937" s="108" t="s">
        <v>3291</v>
      </c>
    </row>
    <row r="938" spans="1:14">
      <c r="A938" s="108">
        <v>931</v>
      </c>
      <c r="B938" s="108">
        <f t="shared" si="93"/>
        <v>368</v>
      </c>
      <c r="C938" s="108">
        <f t="shared" si="94"/>
        <v>0</v>
      </c>
      <c r="F938" s="108" t="s">
        <v>3292</v>
      </c>
      <c r="G938" s="108">
        <v>23</v>
      </c>
      <c r="H938" s="108">
        <v>15</v>
      </c>
      <c r="I938" s="108">
        <v>53.5</v>
      </c>
      <c r="J938" s="108">
        <v>-9</v>
      </c>
      <c r="K938" s="108">
        <v>-5</v>
      </c>
      <c r="L938" s="108">
        <v>-16</v>
      </c>
      <c r="M938" s="108" t="s">
        <v>3293</v>
      </c>
      <c r="N938" s="108" t="s">
        <v>3294</v>
      </c>
    </row>
    <row r="939" spans="1:14">
      <c r="A939" s="108">
        <v>932</v>
      </c>
      <c r="B939" s="108">
        <f t="shared" si="93"/>
        <v>368</v>
      </c>
      <c r="C939" s="108">
        <f t="shared" si="94"/>
        <v>0</v>
      </c>
      <c r="F939" s="108" t="s">
        <v>3295</v>
      </c>
      <c r="G939" s="108">
        <v>23</v>
      </c>
      <c r="H939" s="108">
        <v>17</v>
      </c>
      <c r="I939" s="108">
        <v>54.2</v>
      </c>
      <c r="J939" s="108">
        <v>-9</v>
      </c>
      <c r="K939" s="108">
        <v>-10</v>
      </c>
      <c r="L939" s="108">
        <v>-57</v>
      </c>
      <c r="M939" s="108" t="s">
        <v>3296</v>
      </c>
      <c r="N939" s="108" t="s">
        <v>3297</v>
      </c>
    </row>
    <row r="940" spans="1:14">
      <c r="A940" s="108">
        <v>933</v>
      </c>
      <c r="B940" s="108">
        <f t="shared" si="93"/>
        <v>368</v>
      </c>
      <c r="C940" s="108">
        <f t="shared" si="94"/>
        <v>0</v>
      </c>
      <c r="F940" s="108" t="s">
        <v>3298</v>
      </c>
      <c r="G940" s="108">
        <v>23</v>
      </c>
      <c r="H940" s="108">
        <v>42</v>
      </c>
      <c r="I940" s="108">
        <v>43.3</v>
      </c>
      <c r="J940" s="108">
        <v>-14</v>
      </c>
      <c r="K940" s="108">
        <v>-32</v>
      </c>
      <c r="L940" s="108">
        <v>-42</v>
      </c>
      <c r="M940" s="108" t="s">
        <v>3299</v>
      </c>
      <c r="N940" s="108" t="s">
        <v>3300</v>
      </c>
    </row>
    <row r="941" spans="1:14">
      <c r="A941" s="108">
        <v>934</v>
      </c>
      <c r="B941" s="108">
        <f t="shared" si="93"/>
        <v>368</v>
      </c>
      <c r="C941" s="108">
        <f t="shared" si="94"/>
        <v>0</v>
      </c>
      <c r="F941" s="108" t="s">
        <v>371</v>
      </c>
      <c r="M941" s="108" t="s">
        <v>3301</v>
      </c>
      <c r="N941" s="108" t="s">
        <v>369</v>
      </c>
    </row>
    <row r="942" spans="1:14">
      <c r="A942" s="108">
        <v>935</v>
      </c>
      <c r="B942" s="108">
        <f t="shared" si="93"/>
        <v>368</v>
      </c>
      <c r="C942" s="108">
        <f t="shared" si="94"/>
        <v>0</v>
      </c>
      <c r="F942" s="108" t="s">
        <v>3302</v>
      </c>
      <c r="G942" s="108">
        <v>9</v>
      </c>
      <c r="H942" s="108">
        <v>27</v>
      </c>
      <c r="I942" s="108">
        <v>35.200000000000003</v>
      </c>
      <c r="J942" s="108">
        <v>-8</v>
      </c>
      <c r="K942" s="108">
        <v>-39</v>
      </c>
      <c r="L942" s="108">
        <v>-31</v>
      </c>
      <c r="M942" s="108" t="s">
        <v>3303</v>
      </c>
      <c r="N942" s="108" t="s">
        <v>3304</v>
      </c>
    </row>
    <row r="943" spans="1:14">
      <c r="A943" s="108">
        <v>936</v>
      </c>
      <c r="B943" s="108">
        <f t="shared" si="93"/>
        <v>368</v>
      </c>
      <c r="C943" s="108">
        <f t="shared" si="94"/>
        <v>0</v>
      </c>
      <c r="F943" s="108" t="s">
        <v>3305</v>
      </c>
      <c r="G943" s="108">
        <v>11</v>
      </c>
      <c r="H943" s="108">
        <v>52</v>
      </c>
      <c r="I943" s="108">
        <v>54.5</v>
      </c>
      <c r="J943" s="108">
        <v>-33</v>
      </c>
      <c r="K943" s="108">
        <v>-54</v>
      </c>
      <c r="L943" s="108">
        <v>-29</v>
      </c>
      <c r="M943" s="108" t="s">
        <v>3306</v>
      </c>
      <c r="N943" s="108" t="s">
        <v>3307</v>
      </c>
    </row>
    <row r="944" spans="1:14">
      <c r="A944" s="108">
        <v>937</v>
      </c>
      <c r="B944" s="108">
        <f t="shared" si="93"/>
        <v>368</v>
      </c>
      <c r="C944" s="108">
        <f t="shared" si="94"/>
        <v>0</v>
      </c>
      <c r="F944" s="108" t="s">
        <v>3308</v>
      </c>
      <c r="G944" s="108">
        <v>13</v>
      </c>
      <c r="H944" s="108">
        <v>18</v>
      </c>
      <c r="I944" s="108">
        <v>55.3</v>
      </c>
      <c r="J944" s="108">
        <v>-23</v>
      </c>
      <c r="K944" s="108">
        <v>-10</v>
      </c>
      <c r="L944" s="108">
        <v>-17</v>
      </c>
      <c r="M944" s="108" t="s">
        <v>3309</v>
      </c>
      <c r="N944" s="108" t="s">
        <v>3310</v>
      </c>
    </row>
    <row r="945" spans="1:14">
      <c r="A945" s="108">
        <v>938</v>
      </c>
      <c r="B945" s="108">
        <f t="shared" si="93"/>
        <v>368</v>
      </c>
      <c r="C945" s="108">
        <f t="shared" si="94"/>
        <v>0</v>
      </c>
      <c r="F945" s="108" t="s">
        <v>3311</v>
      </c>
      <c r="G945" s="108">
        <v>8</v>
      </c>
      <c r="H945" s="108">
        <v>37</v>
      </c>
      <c r="I945" s="108">
        <v>39.4</v>
      </c>
      <c r="J945" s="108">
        <v>5</v>
      </c>
      <c r="K945" s="108">
        <v>42</v>
      </c>
      <c r="L945" s="108">
        <v>14</v>
      </c>
      <c r="M945" s="108" t="s">
        <v>3312</v>
      </c>
      <c r="N945" s="108" t="s">
        <v>3313</v>
      </c>
    </row>
    <row r="946" spans="1:14">
      <c r="A946" s="108">
        <v>939</v>
      </c>
      <c r="B946" s="108">
        <f t="shared" si="93"/>
        <v>368</v>
      </c>
      <c r="C946" s="108">
        <f t="shared" si="94"/>
        <v>0</v>
      </c>
      <c r="F946" s="108" t="s">
        <v>3314</v>
      </c>
      <c r="G946" s="108">
        <v>8</v>
      </c>
      <c r="H946" s="108">
        <v>46</v>
      </c>
      <c r="I946" s="108">
        <v>46.5</v>
      </c>
      <c r="J946" s="108">
        <v>6</v>
      </c>
      <c r="K946" s="108">
        <v>25</v>
      </c>
      <c r="L946" s="108">
        <v>8</v>
      </c>
      <c r="M946" s="108" t="s">
        <v>3315</v>
      </c>
      <c r="N946" s="108" t="s">
        <v>3316</v>
      </c>
    </row>
    <row r="947" spans="1:14">
      <c r="A947" s="108">
        <v>940</v>
      </c>
      <c r="B947" s="108">
        <f t="shared" si="93"/>
        <v>368</v>
      </c>
      <c r="C947" s="108">
        <f t="shared" si="94"/>
        <v>0</v>
      </c>
      <c r="F947" s="108" t="s">
        <v>3317</v>
      </c>
      <c r="G947" s="108">
        <v>8</v>
      </c>
      <c r="H947" s="108">
        <v>55</v>
      </c>
      <c r="I947" s="108">
        <v>23.6</v>
      </c>
      <c r="J947" s="108">
        <v>5</v>
      </c>
      <c r="K947" s="108">
        <v>56</v>
      </c>
      <c r="L947" s="108">
        <v>44</v>
      </c>
      <c r="M947" s="108" t="s">
        <v>3318</v>
      </c>
      <c r="N947" s="108" t="s">
        <v>3319</v>
      </c>
    </row>
    <row r="948" spans="1:14">
      <c r="A948" s="108">
        <v>941</v>
      </c>
      <c r="B948" s="108">
        <f t="shared" si="93"/>
        <v>368</v>
      </c>
      <c r="C948" s="108">
        <f t="shared" si="94"/>
        <v>0</v>
      </c>
      <c r="F948" s="108" t="s">
        <v>3320</v>
      </c>
      <c r="G948" s="108">
        <v>9</v>
      </c>
      <c r="H948" s="108">
        <v>14</v>
      </c>
      <c r="I948" s="108">
        <v>21.9</v>
      </c>
      <c r="J948" s="108">
        <v>2</v>
      </c>
      <c r="K948" s="108">
        <v>18</v>
      </c>
      <c r="L948" s="108">
        <v>51</v>
      </c>
      <c r="M948" s="108" t="s">
        <v>3321</v>
      </c>
      <c r="N948" s="108" t="s">
        <v>3322</v>
      </c>
    </row>
    <row r="949" spans="1:14">
      <c r="A949" s="108">
        <v>942</v>
      </c>
      <c r="B949" s="108">
        <f t="shared" si="93"/>
        <v>368</v>
      </c>
      <c r="C949" s="108">
        <f t="shared" si="94"/>
        <v>0</v>
      </c>
      <c r="F949" s="108" t="s">
        <v>3323</v>
      </c>
      <c r="G949" s="108">
        <v>9</v>
      </c>
      <c r="H949" s="108">
        <v>39</v>
      </c>
      <c r="I949" s="108">
        <v>51.4</v>
      </c>
      <c r="J949" s="108">
        <v>-1</v>
      </c>
      <c r="K949" s="108">
        <v>-8</v>
      </c>
      <c r="L949" s="108">
        <v>-34</v>
      </c>
      <c r="M949" s="108" t="s">
        <v>3324</v>
      </c>
      <c r="N949" s="108" t="s">
        <v>3325</v>
      </c>
    </row>
    <row r="950" spans="1:14">
      <c r="A950" s="108">
        <v>943</v>
      </c>
      <c r="B950" s="108">
        <f t="shared" si="93"/>
        <v>368</v>
      </c>
      <c r="C950" s="108">
        <f t="shared" si="94"/>
        <v>0</v>
      </c>
      <c r="F950" s="108" t="s">
        <v>3326</v>
      </c>
      <c r="G950" s="108">
        <v>10</v>
      </c>
      <c r="H950" s="108">
        <v>10</v>
      </c>
      <c r="I950" s="108">
        <v>35.299999999999997</v>
      </c>
      <c r="J950" s="108">
        <v>-12</v>
      </c>
      <c r="K950" s="108">
        <v>-21</v>
      </c>
      <c r="L950" s="108">
        <v>-15</v>
      </c>
      <c r="M950" s="108" t="s">
        <v>3327</v>
      </c>
      <c r="N950" s="108" t="s">
        <v>3328</v>
      </c>
    </row>
    <row r="951" spans="1:14">
      <c r="A951" s="108">
        <v>944</v>
      </c>
      <c r="B951" s="108">
        <f t="shared" si="93"/>
        <v>368</v>
      </c>
      <c r="C951" s="108">
        <f t="shared" si="94"/>
        <v>0</v>
      </c>
      <c r="F951" s="108" t="s">
        <v>3329</v>
      </c>
      <c r="G951" s="108">
        <v>10</v>
      </c>
      <c r="H951" s="108">
        <v>26</v>
      </c>
      <c r="I951" s="108">
        <v>5.4</v>
      </c>
      <c r="J951" s="108">
        <v>-16</v>
      </c>
      <c r="K951" s="108">
        <v>-50</v>
      </c>
      <c r="L951" s="108">
        <v>-11</v>
      </c>
      <c r="M951" s="108" t="s">
        <v>3330</v>
      </c>
      <c r="N951" s="108" t="s">
        <v>3331</v>
      </c>
    </row>
    <row r="952" spans="1:14">
      <c r="A952" s="108">
        <v>945</v>
      </c>
      <c r="B952" s="108">
        <f t="shared" si="93"/>
        <v>368</v>
      </c>
      <c r="C952" s="108">
        <f t="shared" si="94"/>
        <v>0</v>
      </c>
      <c r="F952" s="108" t="s">
        <v>3332</v>
      </c>
      <c r="G952" s="108">
        <v>10</v>
      </c>
      <c r="H952" s="108">
        <v>49</v>
      </c>
      <c r="I952" s="108">
        <v>37.5</v>
      </c>
      <c r="J952" s="108">
        <v>-16</v>
      </c>
      <c r="K952" s="108">
        <v>-11</v>
      </c>
      <c r="L952" s="108">
        <v>-37</v>
      </c>
      <c r="M952" s="108" t="s">
        <v>3333</v>
      </c>
      <c r="N952" s="108" t="s">
        <v>3334</v>
      </c>
    </row>
    <row r="953" spans="1:14">
      <c r="A953" s="108">
        <v>946</v>
      </c>
      <c r="B953" s="108">
        <f t="shared" si="93"/>
        <v>368</v>
      </c>
      <c r="C953" s="108">
        <f t="shared" si="94"/>
        <v>0</v>
      </c>
      <c r="F953" s="108" t="s">
        <v>3335</v>
      </c>
      <c r="G953" s="108">
        <v>11</v>
      </c>
      <c r="H953" s="108">
        <v>33</v>
      </c>
      <c r="I953" s="108">
        <v>0.1</v>
      </c>
      <c r="J953" s="108">
        <v>-31</v>
      </c>
      <c r="K953" s="108">
        <v>-51</v>
      </c>
      <c r="L953" s="108">
        <v>-27</v>
      </c>
      <c r="M953" s="108" t="s">
        <v>3336</v>
      </c>
      <c r="N953" s="108" t="s">
        <v>3337</v>
      </c>
    </row>
    <row r="954" spans="1:14">
      <c r="A954" s="108">
        <v>947</v>
      </c>
      <c r="B954" s="108">
        <f t="shared" si="93"/>
        <v>368</v>
      </c>
      <c r="C954" s="108">
        <f t="shared" si="94"/>
        <v>0</v>
      </c>
      <c r="F954" s="108" t="s">
        <v>3338</v>
      </c>
      <c r="G954" s="108">
        <v>14</v>
      </c>
      <c r="H954" s="108">
        <v>6</v>
      </c>
      <c r="I954" s="108">
        <v>22.3</v>
      </c>
      <c r="J954" s="108">
        <v>-26</v>
      </c>
      <c r="K954" s="108">
        <v>-40</v>
      </c>
      <c r="L954" s="108">
        <v>-57</v>
      </c>
      <c r="M954" s="108" t="s">
        <v>3339</v>
      </c>
      <c r="N954" s="108" t="s">
        <v>3340</v>
      </c>
    </row>
    <row r="955" spans="1:14">
      <c r="A955" s="108">
        <v>948</v>
      </c>
      <c r="B955" s="108">
        <f t="shared" si="93"/>
        <v>368</v>
      </c>
      <c r="C955" s="108">
        <f t="shared" si="94"/>
        <v>0</v>
      </c>
      <c r="F955" s="108" t="s">
        <v>3341</v>
      </c>
      <c r="G955" s="108">
        <v>9</v>
      </c>
      <c r="H955" s="108">
        <v>31</v>
      </c>
      <c r="I955" s="108">
        <v>58.9</v>
      </c>
      <c r="J955" s="108">
        <v>-1</v>
      </c>
      <c r="K955" s="108">
        <v>-11</v>
      </c>
      <c r="L955" s="108">
        <v>-5</v>
      </c>
      <c r="M955" s="108" t="s">
        <v>3342</v>
      </c>
      <c r="N955" s="108" t="s">
        <v>3343</v>
      </c>
    </row>
    <row r="956" spans="1:14">
      <c r="A956" s="108">
        <v>949</v>
      </c>
      <c r="B956" s="108">
        <f t="shared" si="93"/>
        <v>368</v>
      </c>
      <c r="C956" s="108">
        <f t="shared" si="94"/>
        <v>0</v>
      </c>
      <c r="F956" s="108" t="s">
        <v>3344</v>
      </c>
      <c r="G956" s="108">
        <v>9</v>
      </c>
      <c r="H956" s="108">
        <v>51</v>
      </c>
      <c r="I956" s="108">
        <v>28.7</v>
      </c>
      <c r="J956" s="108">
        <v>-14</v>
      </c>
      <c r="K956" s="108">
        <v>-50</v>
      </c>
      <c r="L956" s="108">
        <v>-48</v>
      </c>
      <c r="M956" s="108" t="s">
        <v>3345</v>
      </c>
      <c r="N956" s="108" t="s">
        <v>3346</v>
      </c>
    </row>
    <row r="957" spans="1:14">
      <c r="A957" s="108">
        <v>950</v>
      </c>
      <c r="B957" s="108">
        <f t="shared" si="93"/>
        <v>368</v>
      </c>
      <c r="C957" s="108">
        <f t="shared" si="94"/>
        <v>0</v>
      </c>
      <c r="F957" s="108" t="s">
        <v>3347</v>
      </c>
      <c r="G957" s="108">
        <v>9</v>
      </c>
      <c r="H957" s="108">
        <v>51</v>
      </c>
      <c r="I957" s="108">
        <v>28.7</v>
      </c>
      <c r="J957" s="108">
        <v>-14</v>
      </c>
      <c r="K957" s="108">
        <v>-50</v>
      </c>
      <c r="L957" s="108">
        <v>-48</v>
      </c>
      <c r="M957" s="108" t="s">
        <v>3348</v>
      </c>
      <c r="N957" s="108" t="s">
        <v>3349</v>
      </c>
    </row>
    <row r="958" spans="1:14">
      <c r="A958" s="108">
        <v>951</v>
      </c>
      <c r="B958" s="108">
        <f t="shared" si="93"/>
        <v>368</v>
      </c>
      <c r="C958" s="108">
        <f t="shared" si="94"/>
        <v>0</v>
      </c>
      <c r="F958" s="108" t="s">
        <v>3350</v>
      </c>
      <c r="G958" s="108">
        <v>13</v>
      </c>
      <c r="H958" s="108">
        <v>9</v>
      </c>
      <c r="I958" s="108">
        <v>3.3</v>
      </c>
      <c r="J958" s="108">
        <v>-23</v>
      </c>
      <c r="K958" s="108">
        <v>-7</v>
      </c>
      <c r="L958" s="108">
        <v>-5</v>
      </c>
      <c r="M958" s="108" t="s">
        <v>3351</v>
      </c>
      <c r="N958" s="108" t="s">
        <v>3352</v>
      </c>
    </row>
    <row r="959" spans="1:14">
      <c r="A959" s="108">
        <v>952</v>
      </c>
      <c r="B959" s="108">
        <f t="shared" si="93"/>
        <v>368</v>
      </c>
      <c r="C959" s="108">
        <f t="shared" si="94"/>
        <v>0</v>
      </c>
      <c r="F959" s="108" t="s">
        <v>530</v>
      </c>
      <c r="M959" s="108" t="s">
        <v>3353</v>
      </c>
      <c r="N959" s="108" t="s">
        <v>3354</v>
      </c>
    </row>
    <row r="960" spans="1:14">
      <c r="A960" s="108">
        <v>953</v>
      </c>
      <c r="B960" s="108">
        <f t="shared" si="93"/>
        <v>368</v>
      </c>
      <c r="C960" s="108">
        <f t="shared" si="94"/>
        <v>0</v>
      </c>
      <c r="F960" s="108" t="s">
        <v>3355</v>
      </c>
      <c r="M960" s="108" t="s">
        <v>1061</v>
      </c>
      <c r="N960" s="108" t="s">
        <v>3356</v>
      </c>
    </row>
    <row r="961" spans="1:14">
      <c r="A961" s="108">
        <v>954</v>
      </c>
      <c r="B961" s="108">
        <f t="shared" si="93"/>
        <v>368</v>
      </c>
      <c r="C961" s="108">
        <f t="shared" si="94"/>
        <v>0</v>
      </c>
      <c r="F961" s="108" t="s">
        <v>3357</v>
      </c>
      <c r="G961" s="108">
        <v>9</v>
      </c>
      <c r="H961" s="108">
        <v>37</v>
      </c>
      <c r="I961" s="108">
        <v>5.3</v>
      </c>
      <c r="J961" s="108">
        <v>81</v>
      </c>
      <c r="K961" s="108">
        <v>19</v>
      </c>
      <c r="L961" s="108">
        <v>35</v>
      </c>
      <c r="M961" s="108" t="s">
        <v>3357</v>
      </c>
      <c r="N961" s="108" t="s">
        <v>3357</v>
      </c>
    </row>
    <row r="962" spans="1:14">
      <c r="A962" s="108">
        <v>955</v>
      </c>
      <c r="B962" s="108">
        <f t="shared" si="93"/>
        <v>368</v>
      </c>
      <c r="C962" s="108">
        <f t="shared" si="94"/>
        <v>0</v>
      </c>
      <c r="F962" s="108" t="s">
        <v>3358</v>
      </c>
      <c r="G962" s="108">
        <v>12</v>
      </c>
      <c r="H962" s="108">
        <v>12</v>
      </c>
      <c r="I962" s="108">
        <v>11.9</v>
      </c>
      <c r="J962" s="108">
        <v>77</v>
      </c>
      <c r="K962" s="108">
        <v>36</v>
      </c>
      <c r="L962" s="108">
        <v>58</v>
      </c>
      <c r="M962" s="108" t="s">
        <v>3358</v>
      </c>
      <c r="N962" s="108" t="s">
        <v>3358</v>
      </c>
    </row>
    <row r="963" spans="1:14">
      <c r="A963" s="108">
        <v>956</v>
      </c>
      <c r="B963" s="108">
        <f t="shared" si="93"/>
        <v>368</v>
      </c>
      <c r="C963" s="108">
        <f t="shared" si="94"/>
        <v>0</v>
      </c>
      <c r="F963" s="108" t="s">
        <v>3359</v>
      </c>
      <c r="G963" s="108">
        <v>15</v>
      </c>
      <c r="H963" s="108">
        <v>38</v>
      </c>
      <c r="I963" s="108">
        <v>12.9</v>
      </c>
      <c r="J963" s="108">
        <v>36</v>
      </c>
      <c r="K963" s="108">
        <v>14</v>
      </c>
      <c r="L963" s="108">
        <v>49</v>
      </c>
      <c r="M963" s="108" t="s">
        <v>3359</v>
      </c>
      <c r="N963" s="108" t="s">
        <v>3360</v>
      </c>
    </row>
    <row r="964" spans="1:14">
      <c r="A964" s="108">
        <v>957</v>
      </c>
      <c r="B964" s="108">
        <f t="shared" si="93"/>
        <v>368</v>
      </c>
      <c r="C964" s="108">
        <f t="shared" si="94"/>
        <v>0</v>
      </c>
      <c r="F964" s="108" t="s">
        <v>3361</v>
      </c>
      <c r="G964" s="108">
        <v>15</v>
      </c>
      <c r="H964" s="108">
        <v>18</v>
      </c>
      <c r="I964" s="108">
        <v>20.3</v>
      </c>
      <c r="J964" s="108">
        <v>26</v>
      </c>
      <c r="K964" s="108">
        <v>50</v>
      </c>
      <c r="L964" s="108">
        <v>25</v>
      </c>
      <c r="M964" s="108" t="s">
        <v>3361</v>
      </c>
      <c r="N964" s="108" t="s">
        <v>3360</v>
      </c>
    </row>
    <row r="965" spans="1:14">
      <c r="A965" s="108">
        <v>958</v>
      </c>
      <c r="B965" s="108">
        <f t="shared" si="93"/>
        <v>368</v>
      </c>
      <c r="C965" s="108">
        <f t="shared" si="94"/>
        <v>0</v>
      </c>
      <c r="F965" s="108" t="s">
        <v>3362</v>
      </c>
      <c r="G965" s="108">
        <v>15</v>
      </c>
      <c r="H965" s="108">
        <v>54</v>
      </c>
      <c r="I965" s="108">
        <v>56.8</v>
      </c>
      <c r="J965" s="108">
        <v>34</v>
      </c>
      <c r="K965" s="108">
        <v>21</v>
      </c>
      <c r="L965" s="108">
        <v>45</v>
      </c>
      <c r="M965" s="108" t="s">
        <v>3362</v>
      </c>
      <c r="N965" s="108" t="s">
        <v>3360</v>
      </c>
    </row>
    <row r="966" spans="1:14">
      <c r="A966" s="108">
        <v>959</v>
      </c>
      <c r="B966" s="108">
        <f t="shared" ref="B966:B1005" si="95">IF(B965=F966,A966,B965)</f>
        <v>368</v>
      </c>
      <c r="C966" s="108">
        <f t="shared" ref="C966:C1005" si="96" xml:space="preserve"> IF(C965=F966,A966,C965)</f>
        <v>0</v>
      </c>
      <c r="F966" s="108" t="s">
        <v>3363</v>
      </c>
      <c r="G966" s="108">
        <v>9</v>
      </c>
      <c r="H966" s="108">
        <v>37</v>
      </c>
      <c r="I966" s="108">
        <v>5.3</v>
      </c>
      <c r="J966" s="108">
        <v>81</v>
      </c>
      <c r="K966" s="108">
        <v>19</v>
      </c>
      <c r="L966" s="108">
        <v>35</v>
      </c>
      <c r="M966" s="108" t="s">
        <v>3357</v>
      </c>
      <c r="N966" s="108" t="s">
        <v>3357</v>
      </c>
    </row>
    <row r="967" spans="1:14">
      <c r="A967" s="108">
        <v>960</v>
      </c>
      <c r="B967" s="108">
        <f t="shared" si="95"/>
        <v>368</v>
      </c>
      <c r="C967" s="108">
        <f t="shared" si="96"/>
        <v>0</v>
      </c>
      <c r="F967" s="108" t="s">
        <v>3364</v>
      </c>
      <c r="G967" s="108">
        <v>12</v>
      </c>
      <c r="H967" s="108">
        <v>12</v>
      </c>
      <c r="I967" s="108">
        <v>11.9</v>
      </c>
      <c r="J967" s="108">
        <v>77</v>
      </c>
      <c r="K967" s="108">
        <v>36</v>
      </c>
      <c r="L967" s="108">
        <v>58</v>
      </c>
      <c r="M967" s="108" t="s">
        <v>3358</v>
      </c>
      <c r="N967" s="108" t="s">
        <v>3358</v>
      </c>
    </row>
    <row r="968" spans="1:14">
      <c r="A968" s="108">
        <v>961</v>
      </c>
      <c r="B968" s="108">
        <f t="shared" si="95"/>
        <v>368</v>
      </c>
      <c r="C968" s="108">
        <f t="shared" si="96"/>
        <v>0</v>
      </c>
      <c r="F968" s="108" t="s">
        <v>3365</v>
      </c>
      <c r="G968" s="108">
        <v>15</v>
      </c>
      <c r="H968" s="108">
        <v>18</v>
      </c>
      <c r="I968" s="108">
        <v>20.3</v>
      </c>
      <c r="J968" s="108">
        <v>26</v>
      </c>
      <c r="K968" s="108">
        <v>50</v>
      </c>
      <c r="L968" s="108">
        <v>25</v>
      </c>
      <c r="M968" s="108" t="s">
        <v>3361</v>
      </c>
      <c r="N968" s="108" t="s">
        <v>3360</v>
      </c>
    </row>
    <row r="969" spans="1:14">
      <c r="A969" s="108">
        <v>962</v>
      </c>
      <c r="B969" s="108">
        <f t="shared" si="95"/>
        <v>368</v>
      </c>
      <c r="C969" s="108">
        <f t="shared" si="96"/>
        <v>0</v>
      </c>
      <c r="F969" s="108" t="s">
        <v>3366</v>
      </c>
      <c r="G969" s="108">
        <v>15</v>
      </c>
      <c r="H969" s="108">
        <v>38</v>
      </c>
      <c r="I969" s="108">
        <v>12.9</v>
      </c>
      <c r="J969" s="108">
        <v>36</v>
      </c>
      <c r="K969" s="108">
        <v>14</v>
      </c>
      <c r="L969" s="108">
        <v>49</v>
      </c>
      <c r="M969" s="108" t="s">
        <v>3359</v>
      </c>
      <c r="N969" s="108" t="s">
        <v>3360</v>
      </c>
    </row>
    <row r="970" spans="1:14">
      <c r="A970" s="108">
        <v>963</v>
      </c>
      <c r="B970" s="108">
        <f t="shared" si="95"/>
        <v>368</v>
      </c>
      <c r="C970" s="108">
        <f t="shared" si="96"/>
        <v>0</v>
      </c>
      <c r="F970" s="108" t="s">
        <v>3367</v>
      </c>
      <c r="G970" s="108">
        <v>15</v>
      </c>
      <c r="H970" s="108">
        <v>54</v>
      </c>
      <c r="I970" s="108">
        <v>56.8</v>
      </c>
      <c r="J970" s="108">
        <v>34</v>
      </c>
      <c r="K970" s="108">
        <v>21</v>
      </c>
      <c r="L970" s="108">
        <v>45</v>
      </c>
      <c r="M970" s="108" t="s">
        <v>3362</v>
      </c>
      <c r="N970" s="108" t="s">
        <v>3360</v>
      </c>
    </row>
    <row r="971" spans="1:14">
      <c r="A971" s="108">
        <v>964</v>
      </c>
      <c r="B971" s="108">
        <f t="shared" si="95"/>
        <v>368</v>
      </c>
      <c r="C971" s="108">
        <f t="shared" si="96"/>
        <v>0</v>
      </c>
      <c r="F971" s="108" t="s">
        <v>498</v>
      </c>
      <c r="M971" s="108" t="s">
        <v>3368</v>
      </c>
      <c r="N971" s="108" t="s">
        <v>496</v>
      </c>
    </row>
    <row r="972" spans="1:14">
      <c r="A972" s="108">
        <v>965</v>
      </c>
      <c r="B972" s="108">
        <f t="shared" si="95"/>
        <v>368</v>
      </c>
      <c r="C972" s="108">
        <f t="shared" si="96"/>
        <v>0</v>
      </c>
      <c r="F972" s="108" t="s">
        <v>3369</v>
      </c>
      <c r="G972" s="108">
        <v>5</v>
      </c>
      <c r="H972" s="108">
        <v>55</v>
      </c>
      <c r="I972" s="108">
        <v>10.3</v>
      </c>
      <c r="J972" s="108">
        <v>7</v>
      </c>
      <c r="K972" s="108">
        <v>24</v>
      </c>
      <c r="L972" s="108">
        <v>25</v>
      </c>
      <c r="M972" s="108" t="s">
        <v>3370</v>
      </c>
      <c r="N972" s="108" t="s">
        <v>3371</v>
      </c>
    </row>
    <row r="973" spans="1:14">
      <c r="A973" s="108">
        <v>966</v>
      </c>
      <c r="B973" s="108">
        <f t="shared" si="95"/>
        <v>368</v>
      </c>
      <c r="C973" s="108">
        <f t="shared" si="96"/>
        <v>0</v>
      </c>
      <c r="F973" s="108" t="s">
        <v>3372</v>
      </c>
      <c r="G973" s="108">
        <v>5</v>
      </c>
      <c r="H973" s="108">
        <v>14</v>
      </c>
      <c r="I973" s="108">
        <v>32.299999999999997</v>
      </c>
      <c r="J973" s="108">
        <v>-8</v>
      </c>
      <c r="K973" s="108">
        <v>-12</v>
      </c>
      <c r="L973" s="108">
        <v>-6</v>
      </c>
      <c r="M973" s="108" t="s">
        <v>3373</v>
      </c>
      <c r="N973" s="108" t="s">
        <v>3374</v>
      </c>
    </row>
    <row r="974" spans="1:14">
      <c r="A974" s="108">
        <v>967</v>
      </c>
      <c r="B974" s="108">
        <f t="shared" si="95"/>
        <v>368</v>
      </c>
      <c r="C974" s="108">
        <f t="shared" si="96"/>
        <v>0</v>
      </c>
      <c r="F974" s="108" t="s">
        <v>3375</v>
      </c>
      <c r="G974" s="108">
        <v>5</v>
      </c>
      <c r="H974" s="108">
        <v>25</v>
      </c>
      <c r="I974" s="108">
        <v>7.9</v>
      </c>
      <c r="J974" s="108">
        <v>6</v>
      </c>
      <c r="K974" s="108">
        <v>20</v>
      </c>
      <c r="L974" s="108">
        <v>59</v>
      </c>
      <c r="M974" s="108" t="s">
        <v>3376</v>
      </c>
      <c r="N974" s="108" t="s">
        <v>3377</v>
      </c>
    </row>
    <row r="975" spans="1:14">
      <c r="A975" s="108">
        <v>968</v>
      </c>
      <c r="B975" s="108">
        <f t="shared" si="95"/>
        <v>368</v>
      </c>
      <c r="C975" s="108">
        <f t="shared" si="96"/>
        <v>0</v>
      </c>
      <c r="F975" s="108" t="s">
        <v>3378</v>
      </c>
      <c r="G975" s="108">
        <v>5</v>
      </c>
      <c r="H975" s="108">
        <v>32</v>
      </c>
      <c r="I975" s="108">
        <v>0.4</v>
      </c>
      <c r="J975" s="108">
        <v>0</v>
      </c>
      <c r="K975" s="108">
        <v>-17</v>
      </c>
      <c r="L975" s="108">
        <v>-57</v>
      </c>
      <c r="M975" s="108" t="s">
        <v>3379</v>
      </c>
      <c r="N975" s="108" t="s">
        <v>3380</v>
      </c>
    </row>
    <row r="976" spans="1:14">
      <c r="A976" s="108">
        <v>969</v>
      </c>
      <c r="B976" s="108">
        <f t="shared" si="95"/>
        <v>368</v>
      </c>
      <c r="C976" s="108">
        <f t="shared" si="96"/>
        <v>0</v>
      </c>
      <c r="F976" s="108" t="s">
        <v>3381</v>
      </c>
      <c r="G976" s="108">
        <v>5</v>
      </c>
      <c r="H976" s="108">
        <v>36</v>
      </c>
      <c r="I976" s="108">
        <v>12.8</v>
      </c>
      <c r="J976" s="108">
        <v>-1</v>
      </c>
      <c r="K976" s="108">
        <v>-12</v>
      </c>
      <c r="L976" s="108">
        <v>-7</v>
      </c>
      <c r="M976" s="108" t="s">
        <v>3382</v>
      </c>
      <c r="N976" s="108" t="s">
        <v>3383</v>
      </c>
    </row>
    <row r="977" spans="1:14">
      <c r="A977" s="108">
        <v>970</v>
      </c>
      <c r="B977" s="108">
        <f t="shared" si="95"/>
        <v>368</v>
      </c>
      <c r="C977" s="108">
        <f t="shared" si="96"/>
        <v>0</v>
      </c>
      <c r="F977" s="108" t="s">
        <v>3384</v>
      </c>
      <c r="G977" s="108">
        <v>5</v>
      </c>
      <c r="H977" s="108">
        <v>40</v>
      </c>
      <c r="I977" s="108">
        <v>45.5</v>
      </c>
      <c r="J977" s="108">
        <v>-1</v>
      </c>
      <c r="K977" s="108">
        <v>-56</v>
      </c>
      <c r="L977" s="108">
        <v>-33</v>
      </c>
      <c r="M977" s="108" t="s">
        <v>3385</v>
      </c>
      <c r="N977" s="108" t="s">
        <v>3386</v>
      </c>
    </row>
    <row r="978" spans="1:14">
      <c r="A978" s="108">
        <v>971</v>
      </c>
      <c r="B978" s="108">
        <f t="shared" si="95"/>
        <v>368</v>
      </c>
      <c r="C978" s="108">
        <f t="shared" si="96"/>
        <v>0</v>
      </c>
      <c r="F978" s="108" t="s">
        <v>3387</v>
      </c>
      <c r="G978" s="108">
        <v>5</v>
      </c>
      <c r="H978" s="108">
        <v>24</v>
      </c>
      <c r="I978" s="108">
        <v>28.6</v>
      </c>
      <c r="J978" s="108">
        <v>-2</v>
      </c>
      <c r="K978" s="108">
        <v>-23</v>
      </c>
      <c r="L978" s="108">
        <v>-50</v>
      </c>
      <c r="M978" s="108" t="s">
        <v>3388</v>
      </c>
      <c r="N978" s="108" t="s">
        <v>3389</v>
      </c>
    </row>
    <row r="979" spans="1:14">
      <c r="A979" s="108">
        <v>972</v>
      </c>
      <c r="B979" s="108">
        <f t="shared" si="95"/>
        <v>368</v>
      </c>
      <c r="C979" s="108">
        <f t="shared" si="96"/>
        <v>0</v>
      </c>
      <c r="F979" s="108" t="s">
        <v>3390</v>
      </c>
      <c r="G979" s="108">
        <v>5</v>
      </c>
      <c r="H979" s="108">
        <v>35</v>
      </c>
      <c r="I979" s="108">
        <v>18</v>
      </c>
      <c r="J979" s="108">
        <v>-5</v>
      </c>
      <c r="K979" s="108">
        <v>-24</v>
      </c>
      <c r="L979" s="108">
        <v>0</v>
      </c>
      <c r="M979" s="108" t="s">
        <v>3391</v>
      </c>
      <c r="N979" s="108" t="s">
        <v>3392</v>
      </c>
    </row>
    <row r="980" spans="1:14">
      <c r="A980" s="108">
        <v>973</v>
      </c>
      <c r="B980" s="108">
        <f t="shared" si="95"/>
        <v>368</v>
      </c>
      <c r="C980" s="108">
        <f t="shared" si="96"/>
        <v>0</v>
      </c>
      <c r="F980" s="108" t="s">
        <v>3393</v>
      </c>
      <c r="G980" s="108">
        <v>5</v>
      </c>
      <c r="H980" s="108">
        <v>47</v>
      </c>
      <c r="I980" s="108">
        <v>45.4</v>
      </c>
      <c r="J980" s="108">
        <v>-9</v>
      </c>
      <c r="K980" s="108">
        <v>-40</v>
      </c>
      <c r="L980" s="108">
        <v>-11</v>
      </c>
      <c r="M980" s="108" t="s">
        <v>3394</v>
      </c>
      <c r="N980" s="108" t="s">
        <v>3395</v>
      </c>
    </row>
    <row r="981" spans="1:14">
      <c r="A981" s="108">
        <v>974</v>
      </c>
      <c r="B981" s="108">
        <f t="shared" si="95"/>
        <v>368</v>
      </c>
      <c r="C981" s="108">
        <f t="shared" si="96"/>
        <v>0</v>
      </c>
      <c r="F981" s="108" t="s">
        <v>3396</v>
      </c>
      <c r="G981" s="108">
        <v>5</v>
      </c>
      <c r="H981" s="108">
        <v>35</v>
      </c>
      <c r="I981" s="108">
        <v>8.3000000000000007</v>
      </c>
      <c r="J981" s="108">
        <v>9</v>
      </c>
      <c r="K981" s="108">
        <v>56</v>
      </c>
      <c r="L981" s="108">
        <v>3</v>
      </c>
      <c r="M981" s="108" t="s">
        <v>3397</v>
      </c>
      <c r="N981" s="108" t="s">
        <v>3398</v>
      </c>
    </row>
    <row r="982" spans="1:14">
      <c r="A982" s="108">
        <v>975</v>
      </c>
      <c r="B982" s="108">
        <f t="shared" si="95"/>
        <v>368</v>
      </c>
      <c r="C982" s="108">
        <f t="shared" si="96"/>
        <v>0</v>
      </c>
      <c r="F982" s="108" t="s">
        <v>3399</v>
      </c>
      <c r="G982" s="108">
        <v>5</v>
      </c>
      <c r="H982" s="108">
        <v>38</v>
      </c>
      <c r="I982" s="108">
        <v>44.8</v>
      </c>
      <c r="J982" s="108">
        <v>-2</v>
      </c>
      <c r="K982" s="108">
        <v>-36</v>
      </c>
      <c r="L982" s="108">
        <v>0</v>
      </c>
      <c r="M982" s="108" t="s">
        <v>3400</v>
      </c>
      <c r="N982" s="108" t="s">
        <v>3401</v>
      </c>
    </row>
    <row r="983" spans="1:14">
      <c r="A983" s="108">
        <v>976</v>
      </c>
      <c r="B983" s="108">
        <f t="shared" si="95"/>
        <v>368</v>
      </c>
      <c r="C983" s="108">
        <f t="shared" si="96"/>
        <v>0</v>
      </c>
      <c r="F983" s="108" t="s">
        <v>3402</v>
      </c>
    </row>
    <row r="984" spans="1:14">
      <c r="A984" s="108">
        <v>977</v>
      </c>
      <c r="B984" s="108">
        <f t="shared" si="95"/>
        <v>368</v>
      </c>
      <c r="C984" s="108">
        <f t="shared" si="96"/>
        <v>0</v>
      </c>
      <c r="F984" s="108" t="s">
        <v>3403</v>
      </c>
      <c r="G984" s="108">
        <v>21</v>
      </c>
      <c r="H984" s="108">
        <v>59</v>
      </c>
      <c r="I984" s="108">
        <v>60</v>
      </c>
      <c r="J984" s="108">
        <v>29</v>
      </c>
      <c r="K984" s="108">
        <v>59</v>
      </c>
      <c r="L984" s="108">
        <v>60</v>
      </c>
    </row>
    <row r="985" spans="1:14">
      <c r="A985" s="108">
        <v>978</v>
      </c>
      <c r="B985" s="108">
        <f t="shared" si="95"/>
        <v>368</v>
      </c>
      <c r="C985" s="108">
        <f t="shared" si="96"/>
        <v>0</v>
      </c>
      <c r="F985" s="108" t="s">
        <v>3404</v>
      </c>
      <c r="G985" s="108">
        <v>22</v>
      </c>
      <c r="H985" s="108">
        <v>59</v>
      </c>
      <c r="I985" s="108">
        <v>60</v>
      </c>
      <c r="J985" s="108">
        <v>49</v>
      </c>
      <c r="K985" s="108">
        <v>59</v>
      </c>
      <c r="L985" s="108">
        <v>60</v>
      </c>
    </row>
    <row r="986" spans="1:14">
      <c r="A986" s="108">
        <v>979</v>
      </c>
      <c r="B986" s="108">
        <f t="shared" si="95"/>
        <v>368</v>
      </c>
      <c r="C986" s="108">
        <f t="shared" si="96"/>
        <v>0</v>
      </c>
      <c r="F986" s="108" t="s">
        <v>3405</v>
      </c>
      <c r="G986" s="108">
        <v>19</v>
      </c>
      <c r="H986" s="108">
        <v>59.5</v>
      </c>
      <c r="I986" s="108">
        <v>30</v>
      </c>
      <c r="J986" s="108">
        <v>9</v>
      </c>
      <c r="K986" s="108">
        <v>59.5</v>
      </c>
      <c r="L986" s="108">
        <v>30</v>
      </c>
    </row>
    <row r="987" spans="1:14">
      <c r="A987" s="108">
        <v>980</v>
      </c>
      <c r="B987" s="108">
        <f t="shared" si="95"/>
        <v>368</v>
      </c>
      <c r="C987" s="108">
        <f t="shared" si="96"/>
        <v>0</v>
      </c>
      <c r="F987" s="108" t="s">
        <v>3406</v>
      </c>
      <c r="G987" s="108">
        <v>0</v>
      </c>
      <c r="H987" s="108">
        <v>59</v>
      </c>
      <c r="I987" s="108">
        <v>60</v>
      </c>
      <c r="J987" s="108">
        <v>-29</v>
      </c>
      <c r="K987" s="108">
        <v>-59</v>
      </c>
      <c r="L987" s="108">
        <v>-60</v>
      </c>
    </row>
    <row r="988" spans="1:14">
      <c r="A988" s="108">
        <v>981</v>
      </c>
      <c r="B988" s="108">
        <f t="shared" si="95"/>
        <v>368</v>
      </c>
      <c r="C988" s="108">
        <f t="shared" si="96"/>
        <v>0</v>
      </c>
      <c r="F988" s="108" t="s">
        <v>3407</v>
      </c>
      <c r="G988" s="108">
        <v>21</v>
      </c>
      <c r="H988" s="108">
        <v>59</v>
      </c>
      <c r="I988" s="108">
        <v>60</v>
      </c>
      <c r="J988" s="108">
        <v>-9</v>
      </c>
      <c r="K988" s="108">
        <v>-59</v>
      </c>
      <c r="L988" s="108">
        <v>-60</v>
      </c>
    </row>
    <row r="989" spans="1:14">
      <c r="A989" s="108">
        <v>982</v>
      </c>
      <c r="B989" s="108">
        <f t="shared" si="95"/>
        <v>368</v>
      </c>
      <c r="C989" s="108">
        <f t="shared" si="96"/>
        <v>0</v>
      </c>
      <c r="F989" s="108" t="s">
        <v>3402</v>
      </c>
    </row>
    <row r="990" spans="1:14">
      <c r="A990" s="108">
        <v>983</v>
      </c>
      <c r="B990" s="108">
        <f t="shared" si="95"/>
        <v>368</v>
      </c>
      <c r="C990" s="108">
        <f t="shared" si="96"/>
        <v>0</v>
      </c>
      <c r="F990" s="108" t="s">
        <v>3408</v>
      </c>
      <c r="G990" s="108">
        <v>32</v>
      </c>
      <c r="H990" s="108">
        <v>17</v>
      </c>
      <c r="I990" s="108">
        <v>14</v>
      </c>
      <c r="J990" s="108">
        <v>29</v>
      </c>
      <c r="K990" s="108">
        <v>59</v>
      </c>
      <c r="L990" s="108">
        <v>23</v>
      </c>
      <c r="M990" s="108" t="s">
        <v>3409</v>
      </c>
      <c r="N990" s="108" t="s">
        <v>3409</v>
      </c>
    </row>
    <row r="991" spans="1:14">
      <c r="A991" s="108">
        <v>984</v>
      </c>
      <c r="B991" s="108">
        <f t="shared" si="95"/>
        <v>368</v>
      </c>
      <c r="C991" s="108">
        <f t="shared" si="96"/>
        <v>0</v>
      </c>
      <c r="F991" s="108" t="s">
        <v>3410</v>
      </c>
      <c r="G991" s="108">
        <v>-1</v>
      </c>
      <c r="H991" s="108">
        <v>-34</v>
      </c>
      <c r="I991" s="108">
        <v>-56</v>
      </c>
      <c r="J991" s="108">
        <v>10</v>
      </c>
      <c r="K991" s="108">
        <v>23</v>
      </c>
      <c r="L991" s="108">
        <v>4</v>
      </c>
      <c r="M991" s="108" t="s">
        <v>3411</v>
      </c>
      <c r="N991" s="108" t="s">
        <v>3411</v>
      </c>
    </row>
    <row r="992" spans="1:14">
      <c r="A992" s="108">
        <v>985</v>
      </c>
      <c r="B992" s="108">
        <f t="shared" si="95"/>
        <v>368</v>
      </c>
      <c r="C992" s="108">
        <f t="shared" si="96"/>
        <v>0</v>
      </c>
      <c r="F992" s="108" t="s">
        <v>3412</v>
      </c>
      <c r="G992" s="108">
        <v>1</v>
      </c>
      <c r="H992" s="108">
        <v>59</v>
      </c>
      <c r="I992" s="108">
        <v>30</v>
      </c>
      <c r="J992" s="108">
        <v>323</v>
      </c>
      <c r="K992" s="108">
        <v>10</v>
      </c>
      <c r="L992" s="108">
        <v>3</v>
      </c>
      <c r="M992" s="108" t="s">
        <v>3413</v>
      </c>
      <c r="N992" s="108" t="s">
        <v>3413</v>
      </c>
    </row>
    <row r="993" spans="1:14">
      <c r="A993" s="108">
        <v>986</v>
      </c>
      <c r="B993" s="108">
        <f t="shared" si="95"/>
        <v>368</v>
      </c>
      <c r="C993" s="108">
        <f t="shared" si="96"/>
        <v>0</v>
      </c>
      <c r="F993" s="108" t="s">
        <v>3414</v>
      </c>
      <c r="G993" s="108">
        <v>22</v>
      </c>
      <c r="H993" s="108">
        <v>59</v>
      </c>
      <c r="I993" s="108">
        <v>45</v>
      </c>
      <c r="J993" s="108">
        <v>-91</v>
      </c>
      <c r="K993" s="108">
        <v>-1</v>
      </c>
      <c r="L993" s="108">
        <v>-34</v>
      </c>
      <c r="M993" s="108" t="s">
        <v>3415</v>
      </c>
      <c r="N993" s="108" t="s">
        <v>3415</v>
      </c>
    </row>
    <row r="994" spans="1:14">
      <c r="A994" s="108">
        <v>987</v>
      </c>
      <c r="B994" s="108">
        <f t="shared" si="95"/>
        <v>368</v>
      </c>
      <c r="C994" s="108">
        <f t="shared" si="96"/>
        <v>0</v>
      </c>
      <c r="F994" s="108" t="s">
        <v>3416</v>
      </c>
      <c r="G994" s="108">
        <v>1</v>
      </c>
      <c r="H994" s="108">
        <v>59</v>
      </c>
      <c r="I994" s="108">
        <v>45</v>
      </c>
      <c r="J994" s="108">
        <v>-30</v>
      </c>
      <c r="K994" s="108">
        <v>0</v>
      </c>
      <c r="L994" s="108">
        <v>60</v>
      </c>
      <c r="M994" s="108" t="s">
        <v>3417</v>
      </c>
      <c r="N994" s="108" t="s">
        <v>3418</v>
      </c>
    </row>
    <row r="995" spans="1:14">
      <c r="A995" s="108">
        <v>988</v>
      </c>
      <c r="B995" s="108">
        <f t="shared" si="95"/>
        <v>368</v>
      </c>
      <c r="C995" s="108">
        <f t="shared" si="96"/>
        <v>0</v>
      </c>
      <c r="F995" s="116" t="s">
        <v>3419</v>
      </c>
      <c r="G995" s="116">
        <v>15</v>
      </c>
      <c r="H995" s="116">
        <v>59</v>
      </c>
      <c r="I995" s="116">
        <v>45</v>
      </c>
      <c r="J995" s="116">
        <v>0</v>
      </c>
      <c r="K995" s="116">
        <v>-10</v>
      </c>
      <c r="L995" s="116">
        <v>25</v>
      </c>
      <c r="M995" s="108" t="s">
        <v>3417</v>
      </c>
      <c r="N995" s="108" t="s">
        <v>3418</v>
      </c>
    </row>
    <row r="996" spans="1:14">
      <c r="A996" s="108">
        <v>989</v>
      </c>
      <c r="B996" s="108">
        <f t="shared" si="95"/>
        <v>368</v>
      </c>
      <c r="C996" s="108">
        <f t="shared" si="96"/>
        <v>0</v>
      </c>
      <c r="F996" s="116" t="s">
        <v>3420</v>
      </c>
      <c r="G996" s="116">
        <v>13</v>
      </c>
      <c r="H996" s="116">
        <v>59</v>
      </c>
      <c r="I996" s="116">
        <v>45</v>
      </c>
      <c r="J996" s="116">
        <v>30</v>
      </c>
      <c r="K996" s="116">
        <v>10</v>
      </c>
      <c r="L996" s="116">
        <v>-25</v>
      </c>
      <c r="M996" s="108" t="s">
        <v>3417</v>
      </c>
      <c r="N996" s="108" t="s">
        <v>3418</v>
      </c>
    </row>
    <row r="997" spans="1:14">
      <c r="A997" s="108">
        <v>990</v>
      </c>
      <c r="B997" s="108">
        <f t="shared" si="95"/>
        <v>368</v>
      </c>
      <c r="C997" s="108">
        <f t="shared" si="96"/>
        <v>0</v>
      </c>
      <c r="F997" s="116" t="s">
        <v>3421</v>
      </c>
      <c r="G997" s="116">
        <v>-13</v>
      </c>
      <c r="H997" s="116">
        <v>59</v>
      </c>
      <c r="I997" s="116">
        <v>0</v>
      </c>
      <c r="J997" s="116">
        <v>30</v>
      </c>
      <c r="K997" s="116">
        <v>10</v>
      </c>
      <c r="L997" s="116">
        <v>25</v>
      </c>
      <c r="M997" s="108" t="s">
        <v>3417</v>
      </c>
      <c r="N997" s="108" t="s">
        <v>3422</v>
      </c>
    </row>
    <row r="998" spans="1:14">
      <c r="A998" s="108">
        <v>991</v>
      </c>
      <c r="B998" s="108">
        <f t="shared" si="95"/>
        <v>368</v>
      </c>
      <c r="C998" s="108">
        <f t="shared" si="96"/>
        <v>0</v>
      </c>
      <c r="F998" s="116" t="s">
        <v>3423</v>
      </c>
      <c r="G998" s="116">
        <v>13</v>
      </c>
      <c r="H998" s="116">
        <v>-59</v>
      </c>
      <c r="I998" s="116">
        <v>45</v>
      </c>
      <c r="J998" s="116">
        <v>30</v>
      </c>
      <c r="K998" s="116">
        <v>10</v>
      </c>
      <c r="L998" s="116">
        <v>25</v>
      </c>
      <c r="M998" s="108" t="s">
        <v>3417</v>
      </c>
      <c r="N998" s="108" t="s">
        <v>3422</v>
      </c>
    </row>
    <row r="999" spans="1:14">
      <c r="A999" s="108">
        <v>992</v>
      </c>
      <c r="B999" s="108">
        <f t="shared" si="95"/>
        <v>368</v>
      </c>
      <c r="C999" s="108">
        <f t="shared" si="96"/>
        <v>0</v>
      </c>
      <c r="F999" s="116" t="s">
        <v>3424</v>
      </c>
      <c r="G999" s="116">
        <v>13</v>
      </c>
      <c r="H999" s="116">
        <v>0</v>
      </c>
      <c r="I999" s="116">
        <v>-30</v>
      </c>
      <c r="J999" s="116">
        <v>30</v>
      </c>
      <c r="K999" s="116">
        <v>0</v>
      </c>
      <c r="L999" s="116">
        <v>25</v>
      </c>
      <c r="M999" s="108" t="s">
        <v>3417</v>
      </c>
      <c r="N999" s="108" t="s">
        <v>3422</v>
      </c>
    </row>
    <row r="1000" spans="1:14">
      <c r="A1000" s="108">
        <v>993</v>
      </c>
      <c r="B1000" s="108">
        <f t="shared" si="95"/>
        <v>368</v>
      </c>
      <c r="C1000" s="108">
        <f t="shared" si="96"/>
        <v>0</v>
      </c>
      <c r="F1000" s="116" t="s">
        <v>3425</v>
      </c>
      <c r="G1000" s="116">
        <v>29</v>
      </c>
      <c r="H1000" s="116">
        <v>-59</v>
      </c>
      <c r="I1000" s="116">
        <v>60</v>
      </c>
      <c r="J1000" s="116">
        <v>301</v>
      </c>
      <c r="K1000" s="116">
        <v>0</v>
      </c>
      <c r="L1000" s="116">
        <v>-25</v>
      </c>
      <c r="M1000" s="108" t="s">
        <v>3426</v>
      </c>
      <c r="N1000" s="108" t="s">
        <v>3427</v>
      </c>
    </row>
    <row r="1001" spans="1:14">
      <c r="A1001" s="108">
        <v>994</v>
      </c>
      <c r="B1001" s="108">
        <f t="shared" si="95"/>
        <v>368</v>
      </c>
      <c r="C1001" s="108">
        <f t="shared" si="96"/>
        <v>0</v>
      </c>
      <c r="F1001" s="116" t="s">
        <v>3428</v>
      </c>
      <c r="G1001" s="116">
        <v>12</v>
      </c>
      <c r="H1001" s="116" t="s">
        <v>3429</v>
      </c>
      <c r="I1001" s="116">
        <v>35</v>
      </c>
      <c r="J1001" s="108">
        <v>41</v>
      </c>
      <c r="K1001" s="116">
        <v>10</v>
      </c>
      <c r="L1001" s="116">
        <v>0</v>
      </c>
      <c r="M1001" s="108" t="s">
        <v>3430</v>
      </c>
      <c r="N1001" s="108" t="s">
        <v>3430</v>
      </c>
    </row>
    <row r="1002" spans="1:14">
      <c r="A1002" s="108">
        <v>995</v>
      </c>
      <c r="B1002" s="108">
        <f t="shared" si="95"/>
        <v>368</v>
      </c>
      <c r="C1002" s="108">
        <f t="shared" si="96"/>
        <v>0</v>
      </c>
      <c r="F1002" s="116" t="s">
        <v>3431</v>
      </c>
      <c r="G1002" s="116">
        <v>3</v>
      </c>
      <c r="H1002" s="116">
        <v>58</v>
      </c>
      <c r="I1002" s="116">
        <v>60</v>
      </c>
      <c r="J1002" s="116">
        <v>30</v>
      </c>
      <c r="K1002" s="116" t="s">
        <v>3432</v>
      </c>
      <c r="L1002" s="116">
        <v>0</v>
      </c>
      <c r="M1002" s="108" t="s">
        <v>3433</v>
      </c>
      <c r="N1002" s="108" t="s">
        <v>3434</v>
      </c>
    </row>
    <row r="1003" spans="1:14">
      <c r="A1003" s="108">
        <v>996</v>
      </c>
      <c r="B1003" s="108">
        <f t="shared" si="95"/>
        <v>368</v>
      </c>
      <c r="C1003" s="108">
        <f t="shared" si="96"/>
        <v>0</v>
      </c>
      <c r="F1003" s="108" t="s">
        <v>3435</v>
      </c>
      <c r="G1003" s="108">
        <v>0</v>
      </c>
      <c r="H1003" s="108">
        <v>0</v>
      </c>
      <c r="I1003" s="108">
        <v>0</v>
      </c>
      <c r="J1003" s="108">
        <v>0</v>
      </c>
      <c r="K1003" s="108">
        <v>0</v>
      </c>
      <c r="L1003" s="108">
        <v>0</v>
      </c>
      <c r="M1003" s="108" t="s">
        <v>3436</v>
      </c>
      <c r="N1003" s="108" t="s">
        <v>3437</v>
      </c>
    </row>
    <row r="1004" spans="1:14">
      <c r="A1004" s="108">
        <v>997</v>
      </c>
      <c r="B1004" s="108">
        <f t="shared" si="95"/>
        <v>368</v>
      </c>
      <c r="C1004" s="108">
        <f t="shared" si="96"/>
        <v>0</v>
      </c>
      <c r="F1004" s="108" t="s">
        <v>3435</v>
      </c>
      <c r="G1004" s="108">
        <v>0</v>
      </c>
      <c r="H1004" s="108">
        <v>0</v>
      </c>
      <c r="I1004" s="108">
        <v>0</v>
      </c>
      <c r="J1004" s="108">
        <v>0</v>
      </c>
      <c r="K1004" s="108">
        <v>0</v>
      </c>
      <c r="L1004" s="108">
        <v>0</v>
      </c>
      <c r="M1004" s="108" t="s">
        <v>3438</v>
      </c>
      <c r="N1004" s="108" t="s">
        <v>3439</v>
      </c>
    </row>
    <row r="1005" spans="1:14">
      <c r="A1005" s="108">
        <v>998</v>
      </c>
      <c r="B1005" s="108">
        <f t="shared" si="95"/>
        <v>368</v>
      </c>
      <c r="C1005" s="108">
        <f t="shared" si="96"/>
        <v>0</v>
      </c>
      <c r="F1005" s="108" t="s">
        <v>3435</v>
      </c>
      <c r="G1005" s="108">
        <v>0</v>
      </c>
      <c r="H1005" s="108">
        <v>0</v>
      </c>
      <c r="I1005" s="108">
        <v>0</v>
      </c>
      <c r="J1005" s="108">
        <v>0</v>
      </c>
      <c r="K1005" s="108">
        <v>0</v>
      </c>
      <c r="L1005" s="108">
        <v>0</v>
      </c>
      <c r="M1005" s="108" t="s">
        <v>3438</v>
      </c>
      <c r="N1005" s="108" t="s">
        <v>3440</v>
      </c>
    </row>
    <row r="1006" spans="1:14">
      <c r="A1006" s="108">
        <v>999</v>
      </c>
      <c r="B1006" s="108">
        <f>IF(B1005=K1209,A1006,B1005)</f>
        <v>368</v>
      </c>
      <c r="C1006" s="108">
        <f xml:space="preserve"> IF(C1005=K1209,A1006,C1005)</f>
        <v>0</v>
      </c>
      <c r="F1006" s="108" t="s">
        <v>2</v>
      </c>
      <c r="G1006" s="108" t="s">
        <v>3</v>
      </c>
      <c r="H1006" s="108" t="s">
        <v>4</v>
      </c>
      <c r="I1006" s="109" t="s">
        <v>5</v>
      </c>
      <c r="J1006" s="108" t="s">
        <v>6</v>
      </c>
      <c r="K1006" s="109" t="s">
        <v>7</v>
      </c>
      <c r="M1006" s="108" t="s">
        <v>8</v>
      </c>
      <c r="N1006" s="108" t="s">
        <v>8</v>
      </c>
    </row>
    <row r="1007" spans="1:14">
      <c r="A1007" s="108">
        <v>1000</v>
      </c>
      <c r="B1007" s="108">
        <f t="shared" ref="B1007:B1070" si="97">IF(B1006=F1007,A1007,B1006)</f>
        <v>368</v>
      </c>
      <c r="C1007" s="108">
        <f t="shared" ref="C1007:C1070" si="98" xml:space="preserve"> IF(C1006=F1007,A1007,C1006)</f>
        <v>0</v>
      </c>
      <c r="F1007" s="108" t="s">
        <v>12</v>
      </c>
      <c r="G1007" s="108" t="s">
        <v>13</v>
      </c>
      <c r="H1007" s="108" t="s">
        <v>14</v>
      </c>
      <c r="I1007" s="108" t="s">
        <v>15</v>
      </c>
      <c r="J1007" s="108" t="s">
        <v>16</v>
      </c>
      <c r="K1007" s="108" t="s">
        <v>14</v>
      </c>
      <c r="L1007" s="108" t="s">
        <v>15</v>
      </c>
      <c r="M1007" s="108" t="s">
        <v>17</v>
      </c>
      <c r="N1007" s="108" t="s">
        <v>18</v>
      </c>
    </row>
    <row r="1008" spans="1:14">
      <c r="A1008" s="108">
        <v>1001</v>
      </c>
      <c r="B1008" s="108">
        <f t="shared" si="97"/>
        <v>368</v>
      </c>
      <c r="C1008" s="108">
        <f t="shared" si="98"/>
        <v>0</v>
      </c>
      <c r="F1008" s="108" t="s">
        <v>3815</v>
      </c>
      <c r="G1008" s="108">
        <v>6</v>
      </c>
      <c r="H1008" s="108">
        <v>1</v>
      </c>
      <c r="I1008" s="108">
        <v>20.3</v>
      </c>
      <c r="J1008" s="108">
        <v>85</v>
      </c>
      <c r="K1008" s="108">
        <v>10</v>
      </c>
      <c r="L1008" s="108">
        <v>56</v>
      </c>
    </row>
    <row r="1009" spans="1:14">
      <c r="A1009" s="108">
        <v>1002</v>
      </c>
      <c r="B1009" s="108">
        <f t="shared" si="97"/>
        <v>368</v>
      </c>
      <c r="C1009" s="108">
        <f t="shared" si="98"/>
        <v>0</v>
      </c>
      <c r="F1009" s="108" t="s">
        <v>3816</v>
      </c>
      <c r="G1009" s="108">
        <v>23</v>
      </c>
      <c r="H1009" s="108">
        <v>59</v>
      </c>
      <c r="I1009" s="108">
        <v>32.4</v>
      </c>
      <c r="J1009" s="108">
        <v>86</v>
      </c>
      <c r="K1009" s="108">
        <v>42</v>
      </c>
      <c r="L1009" s="108">
        <v>23</v>
      </c>
    </row>
    <row r="1010" spans="1:14">
      <c r="A1010" s="108">
        <v>1003</v>
      </c>
      <c r="B1010" s="108">
        <f t="shared" si="97"/>
        <v>368</v>
      </c>
      <c r="C1010" s="108">
        <f t="shared" si="98"/>
        <v>0</v>
      </c>
      <c r="F1010" s="108" t="s">
        <v>3817</v>
      </c>
      <c r="G1010" s="108">
        <v>11</v>
      </c>
      <c r="H1010" s="108">
        <v>59</v>
      </c>
      <c r="I1010" s="108">
        <v>56.5</v>
      </c>
      <c r="J1010" s="108">
        <v>86</v>
      </c>
      <c r="K1010" s="108">
        <v>59</v>
      </c>
      <c r="L1010" s="108">
        <v>42</v>
      </c>
    </row>
    <row r="1011" spans="1:14">
      <c r="A1011" s="108">
        <v>1004</v>
      </c>
      <c r="B1011" s="108">
        <f t="shared" si="97"/>
        <v>368</v>
      </c>
      <c r="C1011" s="108">
        <f t="shared" si="98"/>
        <v>0</v>
      </c>
      <c r="F1011" s="108" t="s">
        <v>3837</v>
      </c>
      <c r="G1011" s="108">
        <v>0</v>
      </c>
      <c r="H1011" s="108">
        <v>0</v>
      </c>
      <c r="I1011" s="108">
        <v>0.21</v>
      </c>
      <c r="J1011" s="108">
        <v>1</v>
      </c>
      <c r="K1011" s="108">
        <v>5</v>
      </c>
      <c r="L1011" s="108">
        <v>20.399999999999999</v>
      </c>
      <c r="M1011" s="108" t="s">
        <v>3838</v>
      </c>
      <c r="N1011" s="108" t="s">
        <v>3838</v>
      </c>
    </row>
    <row r="1012" spans="1:14">
      <c r="A1012" s="108">
        <v>1005</v>
      </c>
      <c r="B1012" s="108">
        <f t="shared" si="97"/>
        <v>368</v>
      </c>
      <c r="C1012" s="108">
        <f t="shared" si="98"/>
        <v>0</v>
      </c>
      <c r="F1012" s="108" t="s">
        <v>1794</v>
      </c>
      <c r="G1012" s="108">
        <v>18</v>
      </c>
      <c r="H1012" s="108">
        <v>53</v>
      </c>
      <c r="I1012" s="108">
        <v>43.56</v>
      </c>
      <c r="J1012" s="108">
        <v>36</v>
      </c>
      <c r="K1012" s="108">
        <v>38</v>
      </c>
      <c r="L1012" s="108">
        <v>18</v>
      </c>
    </row>
    <row r="1013" spans="1:14">
      <c r="A1013" s="108">
        <v>1006</v>
      </c>
      <c r="B1013" s="108">
        <f t="shared" si="97"/>
        <v>368</v>
      </c>
      <c r="C1013" s="108">
        <f t="shared" si="98"/>
        <v>1006</v>
      </c>
    </row>
    <row r="1014" spans="1:14">
      <c r="A1014" s="108">
        <v>1007</v>
      </c>
      <c r="B1014" s="108">
        <f t="shared" si="97"/>
        <v>368</v>
      </c>
      <c r="C1014" s="108">
        <f t="shared" si="98"/>
        <v>1006</v>
      </c>
    </row>
    <row r="1015" spans="1:14">
      <c r="A1015" s="108">
        <v>1008</v>
      </c>
      <c r="B1015" s="108">
        <f t="shared" si="97"/>
        <v>368</v>
      </c>
      <c r="C1015" s="108">
        <f t="shared" si="98"/>
        <v>1006</v>
      </c>
    </row>
    <row r="1016" spans="1:14">
      <c r="A1016" s="108">
        <v>1009</v>
      </c>
      <c r="B1016" s="108">
        <f t="shared" si="97"/>
        <v>368</v>
      </c>
      <c r="C1016" s="108">
        <f t="shared" si="98"/>
        <v>1006</v>
      </c>
    </row>
    <row r="1017" spans="1:14">
      <c r="A1017" s="108">
        <v>1010</v>
      </c>
      <c r="B1017" s="108">
        <f t="shared" si="97"/>
        <v>368</v>
      </c>
      <c r="C1017" s="108">
        <f t="shared" si="98"/>
        <v>1006</v>
      </c>
    </row>
    <row r="1018" spans="1:14">
      <c r="A1018" s="108">
        <v>1011</v>
      </c>
      <c r="B1018" s="108">
        <f t="shared" si="97"/>
        <v>368</v>
      </c>
      <c r="C1018" s="108">
        <f t="shared" si="98"/>
        <v>1006</v>
      </c>
    </row>
    <row r="1019" spans="1:14">
      <c r="A1019" s="108">
        <v>1012</v>
      </c>
      <c r="B1019" s="108">
        <f t="shared" si="97"/>
        <v>368</v>
      </c>
      <c r="C1019" s="108">
        <f t="shared" si="98"/>
        <v>1006</v>
      </c>
    </row>
    <row r="1020" spans="1:14">
      <c r="A1020" s="108">
        <v>1013</v>
      </c>
      <c r="B1020" s="108">
        <f t="shared" si="97"/>
        <v>368</v>
      </c>
      <c r="C1020" s="108">
        <f t="shared" si="98"/>
        <v>1006</v>
      </c>
    </row>
    <row r="1021" spans="1:14">
      <c r="A1021" s="108">
        <v>1014</v>
      </c>
      <c r="B1021" s="108">
        <f t="shared" si="97"/>
        <v>368</v>
      </c>
      <c r="C1021" s="108">
        <f t="shared" si="98"/>
        <v>1006</v>
      </c>
    </row>
    <row r="1022" spans="1:14">
      <c r="A1022" s="108">
        <v>1015</v>
      </c>
      <c r="B1022" s="108">
        <f t="shared" si="97"/>
        <v>368</v>
      </c>
      <c r="C1022" s="108">
        <f t="shared" si="98"/>
        <v>1006</v>
      </c>
    </row>
    <row r="1023" spans="1:14">
      <c r="A1023" s="108">
        <v>1016</v>
      </c>
      <c r="B1023" s="108">
        <f t="shared" si="97"/>
        <v>368</v>
      </c>
      <c r="C1023" s="108">
        <f t="shared" si="98"/>
        <v>1006</v>
      </c>
    </row>
    <row r="1024" spans="1:14">
      <c r="A1024" s="108">
        <v>1017</v>
      </c>
      <c r="B1024" s="108">
        <f t="shared" si="97"/>
        <v>368</v>
      </c>
      <c r="C1024" s="108">
        <f t="shared" si="98"/>
        <v>1006</v>
      </c>
    </row>
    <row r="1025" spans="1:3">
      <c r="A1025" s="108">
        <v>1018</v>
      </c>
      <c r="B1025" s="108">
        <f t="shared" si="97"/>
        <v>368</v>
      </c>
      <c r="C1025" s="108">
        <f t="shared" si="98"/>
        <v>1006</v>
      </c>
    </row>
    <row r="1026" spans="1:3">
      <c r="A1026" s="108">
        <v>1019</v>
      </c>
      <c r="B1026" s="108">
        <f t="shared" si="97"/>
        <v>368</v>
      </c>
      <c r="C1026" s="108">
        <f t="shared" si="98"/>
        <v>1006</v>
      </c>
    </row>
    <row r="1027" spans="1:3">
      <c r="A1027" s="108">
        <v>1020</v>
      </c>
      <c r="B1027" s="108">
        <f t="shared" si="97"/>
        <v>368</v>
      </c>
      <c r="C1027" s="108">
        <f t="shared" si="98"/>
        <v>1006</v>
      </c>
    </row>
    <row r="1028" spans="1:3">
      <c r="A1028" s="108">
        <v>1021</v>
      </c>
      <c r="B1028" s="108">
        <f t="shared" si="97"/>
        <v>368</v>
      </c>
      <c r="C1028" s="108">
        <f t="shared" si="98"/>
        <v>1006</v>
      </c>
    </row>
    <row r="1029" spans="1:3">
      <c r="A1029" s="108">
        <v>1022</v>
      </c>
      <c r="B1029" s="108">
        <f t="shared" si="97"/>
        <v>368</v>
      </c>
      <c r="C1029" s="108">
        <f t="shared" si="98"/>
        <v>1006</v>
      </c>
    </row>
    <row r="1030" spans="1:3">
      <c r="A1030" s="108">
        <v>1023</v>
      </c>
      <c r="B1030" s="108">
        <f t="shared" si="97"/>
        <v>368</v>
      </c>
      <c r="C1030" s="108">
        <f t="shared" si="98"/>
        <v>1006</v>
      </c>
    </row>
    <row r="1031" spans="1:3">
      <c r="A1031" s="108">
        <v>1024</v>
      </c>
      <c r="B1031" s="108">
        <f t="shared" si="97"/>
        <v>368</v>
      </c>
      <c r="C1031" s="108">
        <f t="shared" si="98"/>
        <v>1006</v>
      </c>
    </row>
    <row r="1032" spans="1:3">
      <c r="A1032" s="108">
        <v>1025</v>
      </c>
      <c r="B1032" s="108">
        <f t="shared" si="97"/>
        <v>368</v>
      </c>
      <c r="C1032" s="108">
        <f t="shared" si="98"/>
        <v>1006</v>
      </c>
    </row>
    <row r="1033" spans="1:3">
      <c r="A1033" s="108">
        <v>1026</v>
      </c>
      <c r="B1033" s="108">
        <f t="shared" si="97"/>
        <v>368</v>
      </c>
      <c r="C1033" s="108">
        <f t="shared" si="98"/>
        <v>1006</v>
      </c>
    </row>
    <row r="1034" spans="1:3">
      <c r="A1034" s="108">
        <v>1027</v>
      </c>
      <c r="B1034" s="108">
        <f t="shared" si="97"/>
        <v>368</v>
      </c>
      <c r="C1034" s="108">
        <f t="shared" si="98"/>
        <v>1006</v>
      </c>
    </row>
    <row r="1035" spans="1:3">
      <c r="A1035" s="108">
        <v>1028</v>
      </c>
      <c r="B1035" s="108">
        <f t="shared" si="97"/>
        <v>368</v>
      </c>
      <c r="C1035" s="108">
        <f t="shared" si="98"/>
        <v>1006</v>
      </c>
    </row>
    <row r="1036" spans="1:3">
      <c r="A1036" s="108">
        <v>1029</v>
      </c>
      <c r="B1036" s="108">
        <f t="shared" si="97"/>
        <v>368</v>
      </c>
      <c r="C1036" s="108">
        <f t="shared" si="98"/>
        <v>1006</v>
      </c>
    </row>
    <row r="1037" spans="1:3">
      <c r="A1037" s="108">
        <v>1030</v>
      </c>
      <c r="B1037" s="108">
        <f t="shared" si="97"/>
        <v>368</v>
      </c>
      <c r="C1037" s="108">
        <f t="shared" si="98"/>
        <v>1006</v>
      </c>
    </row>
    <row r="1038" spans="1:3">
      <c r="A1038" s="108">
        <v>1031</v>
      </c>
      <c r="B1038" s="108">
        <f t="shared" si="97"/>
        <v>368</v>
      </c>
      <c r="C1038" s="108">
        <f t="shared" si="98"/>
        <v>1006</v>
      </c>
    </row>
    <row r="1039" spans="1:3">
      <c r="A1039" s="108">
        <v>1032</v>
      </c>
      <c r="B1039" s="108">
        <f t="shared" si="97"/>
        <v>368</v>
      </c>
      <c r="C1039" s="108">
        <f t="shared" si="98"/>
        <v>1006</v>
      </c>
    </row>
    <row r="1040" spans="1:3">
      <c r="A1040" s="108">
        <v>1033</v>
      </c>
      <c r="B1040" s="108">
        <f t="shared" si="97"/>
        <v>368</v>
      </c>
      <c r="C1040" s="108">
        <f t="shared" si="98"/>
        <v>1006</v>
      </c>
    </row>
    <row r="1041" spans="1:3">
      <c r="A1041" s="108">
        <v>1034</v>
      </c>
      <c r="B1041" s="108">
        <f t="shared" si="97"/>
        <v>368</v>
      </c>
      <c r="C1041" s="108">
        <f t="shared" si="98"/>
        <v>1006</v>
      </c>
    </row>
    <row r="1042" spans="1:3">
      <c r="A1042" s="108">
        <v>1035</v>
      </c>
      <c r="B1042" s="108">
        <f t="shared" si="97"/>
        <v>368</v>
      </c>
      <c r="C1042" s="108">
        <f t="shared" si="98"/>
        <v>1006</v>
      </c>
    </row>
    <row r="1043" spans="1:3">
      <c r="A1043" s="108">
        <v>1036</v>
      </c>
      <c r="B1043" s="108">
        <f t="shared" si="97"/>
        <v>368</v>
      </c>
      <c r="C1043" s="108">
        <f t="shared" si="98"/>
        <v>1006</v>
      </c>
    </row>
    <row r="1044" spans="1:3">
      <c r="A1044" s="108">
        <v>1037</v>
      </c>
      <c r="B1044" s="108">
        <f t="shared" si="97"/>
        <v>368</v>
      </c>
      <c r="C1044" s="108">
        <f t="shared" si="98"/>
        <v>1006</v>
      </c>
    </row>
    <row r="1045" spans="1:3">
      <c r="A1045" s="108">
        <v>1038</v>
      </c>
      <c r="B1045" s="108">
        <f t="shared" si="97"/>
        <v>368</v>
      </c>
      <c r="C1045" s="108">
        <f t="shared" si="98"/>
        <v>1006</v>
      </c>
    </row>
    <row r="1046" spans="1:3">
      <c r="A1046" s="108">
        <v>1039</v>
      </c>
      <c r="B1046" s="108">
        <f t="shared" si="97"/>
        <v>368</v>
      </c>
      <c r="C1046" s="108">
        <f t="shared" si="98"/>
        <v>1006</v>
      </c>
    </row>
    <row r="1047" spans="1:3">
      <c r="A1047" s="108">
        <v>1040</v>
      </c>
      <c r="B1047" s="108">
        <f t="shared" si="97"/>
        <v>368</v>
      </c>
      <c r="C1047" s="108">
        <f t="shared" si="98"/>
        <v>1006</v>
      </c>
    </row>
    <row r="1048" spans="1:3">
      <c r="A1048" s="108">
        <v>1041</v>
      </c>
      <c r="B1048" s="108">
        <f t="shared" si="97"/>
        <v>368</v>
      </c>
      <c r="C1048" s="108">
        <f t="shared" si="98"/>
        <v>1006</v>
      </c>
    </row>
    <row r="1049" spans="1:3">
      <c r="A1049" s="108">
        <v>1042</v>
      </c>
      <c r="B1049" s="108">
        <f t="shared" si="97"/>
        <v>368</v>
      </c>
      <c r="C1049" s="108">
        <f t="shared" si="98"/>
        <v>1006</v>
      </c>
    </row>
    <row r="1050" spans="1:3">
      <c r="A1050" s="108">
        <v>1043</v>
      </c>
      <c r="B1050" s="108">
        <f t="shared" si="97"/>
        <v>368</v>
      </c>
      <c r="C1050" s="108">
        <f t="shared" si="98"/>
        <v>1006</v>
      </c>
    </row>
    <row r="1051" spans="1:3">
      <c r="A1051" s="108">
        <v>1044</v>
      </c>
      <c r="B1051" s="108">
        <f t="shared" si="97"/>
        <v>368</v>
      </c>
      <c r="C1051" s="108">
        <f t="shared" si="98"/>
        <v>1006</v>
      </c>
    </row>
    <row r="1052" spans="1:3">
      <c r="A1052" s="108">
        <v>1045</v>
      </c>
      <c r="B1052" s="108">
        <f t="shared" si="97"/>
        <v>368</v>
      </c>
      <c r="C1052" s="108">
        <f t="shared" si="98"/>
        <v>1006</v>
      </c>
    </row>
    <row r="1053" spans="1:3">
      <c r="A1053" s="108">
        <v>1046</v>
      </c>
      <c r="B1053" s="108">
        <f t="shared" si="97"/>
        <v>368</v>
      </c>
      <c r="C1053" s="108">
        <f t="shared" si="98"/>
        <v>1006</v>
      </c>
    </row>
    <row r="1054" spans="1:3">
      <c r="A1054" s="108">
        <v>1047</v>
      </c>
      <c r="B1054" s="108">
        <f t="shared" si="97"/>
        <v>368</v>
      </c>
      <c r="C1054" s="108">
        <f t="shared" si="98"/>
        <v>1006</v>
      </c>
    </row>
    <row r="1055" spans="1:3">
      <c r="A1055" s="108">
        <v>1048</v>
      </c>
      <c r="B1055" s="108">
        <f t="shared" si="97"/>
        <v>368</v>
      </c>
      <c r="C1055" s="108">
        <f t="shared" si="98"/>
        <v>1006</v>
      </c>
    </row>
    <row r="1056" spans="1:3">
      <c r="A1056" s="108">
        <v>1049</v>
      </c>
      <c r="B1056" s="108">
        <f t="shared" si="97"/>
        <v>368</v>
      </c>
      <c r="C1056" s="108">
        <f t="shared" si="98"/>
        <v>1006</v>
      </c>
    </row>
    <row r="1057" spans="1:3">
      <c r="A1057" s="108">
        <v>1050</v>
      </c>
      <c r="B1057" s="108">
        <f t="shared" si="97"/>
        <v>368</v>
      </c>
      <c r="C1057" s="108">
        <f t="shared" si="98"/>
        <v>1006</v>
      </c>
    </row>
    <row r="1058" spans="1:3">
      <c r="A1058" s="108">
        <v>1051</v>
      </c>
      <c r="B1058" s="108">
        <f t="shared" si="97"/>
        <v>368</v>
      </c>
      <c r="C1058" s="108">
        <f t="shared" si="98"/>
        <v>1006</v>
      </c>
    </row>
    <row r="1059" spans="1:3">
      <c r="A1059" s="108">
        <v>1052</v>
      </c>
      <c r="B1059" s="108">
        <f t="shared" si="97"/>
        <v>368</v>
      </c>
      <c r="C1059" s="108">
        <f t="shared" si="98"/>
        <v>1006</v>
      </c>
    </row>
    <row r="1060" spans="1:3">
      <c r="A1060" s="108">
        <v>1053</v>
      </c>
      <c r="B1060" s="108">
        <f t="shared" si="97"/>
        <v>368</v>
      </c>
      <c r="C1060" s="108">
        <f t="shared" si="98"/>
        <v>1006</v>
      </c>
    </row>
    <row r="1061" spans="1:3">
      <c r="A1061" s="108">
        <v>1054</v>
      </c>
      <c r="B1061" s="108">
        <f t="shared" si="97"/>
        <v>368</v>
      </c>
      <c r="C1061" s="108">
        <f t="shared" si="98"/>
        <v>1006</v>
      </c>
    </row>
    <row r="1062" spans="1:3">
      <c r="A1062" s="108">
        <v>1055</v>
      </c>
      <c r="B1062" s="108">
        <f t="shared" si="97"/>
        <v>368</v>
      </c>
      <c r="C1062" s="108">
        <f t="shared" si="98"/>
        <v>1006</v>
      </c>
    </row>
    <row r="1063" spans="1:3">
      <c r="A1063" s="108">
        <v>1056</v>
      </c>
      <c r="B1063" s="108">
        <f t="shared" si="97"/>
        <v>368</v>
      </c>
      <c r="C1063" s="108">
        <f t="shared" si="98"/>
        <v>1006</v>
      </c>
    </row>
    <row r="1064" spans="1:3">
      <c r="A1064" s="108">
        <v>1057</v>
      </c>
      <c r="B1064" s="108">
        <f t="shared" si="97"/>
        <v>368</v>
      </c>
      <c r="C1064" s="108">
        <f t="shared" si="98"/>
        <v>1006</v>
      </c>
    </row>
    <row r="1065" spans="1:3">
      <c r="A1065" s="108">
        <v>1058</v>
      </c>
      <c r="B1065" s="108">
        <f t="shared" si="97"/>
        <v>368</v>
      </c>
      <c r="C1065" s="108">
        <f t="shared" si="98"/>
        <v>1006</v>
      </c>
    </row>
    <row r="1066" spans="1:3">
      <c r="A1066" s="108">
        <v>1059</v>
      </c>
      <c r="B1066" s="108">
        <f t="shared" si="97"/>
        <v>368</v>
      </c>
      <c r="C1066" s="108">
        <f t="shared" si="98"/>
        <v>1006</v>
      </c>
    </row>
    <row r="1067" spans="1:3">
      <c r="A1067" s="108">
        <v>1060</v>
      </c>
      <c r="B1067" s="108">
        <f t="shared" si="97"/>
        <v>368</v>
      </c>
      <c r="C1067" s="108">
        <f t="shared" si="98"/>
        <v>1006</v>
      </c>
    </row>
    <row r="1068" spans="1:3">
      <c r="A1068" s="108">
        <v>1061</v>
      </c>
      <c r="B1068" s="108">
        <f t="shared" si="97"/>
        <v>368</v>
      </c>
      <c r="C1068" s="108">
        <f t="shared" si="98"/>
        <v>1006</v>
      </c>
    </row>
    <row r="1069" spans="1:3">
      <c r="A1069" s="108">
        <v>1062</v>
      </c>
      <c r="B1069" s="108">
        <f t="shared" si="97"/>
        <v>368</v>
      </c>
      <c r="C1069" s="108">
        <f t="shared" si="98"/>
        <v>1006</v>
      </c>
    </row>
    <row r="1070" spans="1:3">
      <c r="A1070" s="108">
        <v>1063</v>
      </c>
      <c r="B1070" s="108">
        <f t="shared" si="97"/>
        <v>368</v>
      </c>
      <c r="C1070" s="108">
        <f t="shared" si="98"/>
        <v>1006</v>
      </c>
    </row>
    <row r="1071" spans="1:3">
      <c r="A1071" s="108">
        <v>1064</v>
      </c>
      <c r="B1071" s="108">
        <f t="shared" ref="B1071:B1134" si="99">IF(B1070=F1071,A1071,B1070)</f>
        <v>368</v>
      </c>
      <c r="C1071" s="108">
        <f t="shared" ref="C1071:C1134" si="100" xml:space="preserve"> IF(C1070=F1071,A1071,C1070)</f>
        <v>1006</v>
      </c>
    </row>
    <row r="1072" spans="1:3">
      <c r="A1072" s="108">
        <v>1065</v>
      </c>
      <c r="B1072" s="108">
        <f t="shared" si="99"/>
        <v>368</v>
      </c>
      <c r="C1072" s="108">
        <f t="shared" si="100"/>
        <v>1006</v>
      </c>
    </row>
    <row r="1073" spans="1:3">
      <c r="A1073" s="108">
        <v>1066</v>
      </c>
      <c r="B1073" s="108">
        <f t="shared" si="99"/>
        <v>368</v>
      </c>
      <c r="C1073" s="108">
        <f t="shared" si="100"/>
        <v>1006</v>
      </c>
    </row>
    <row r="1074" spans="1:3">
      <c r="A1074" s="108">
        <v>1067</v>
      </c>
      <c r="B1074" s="108">
        <f t="shared" si="99"/>
        <v>368</v>
      </c>
      <c r="C1074" s="108">
        <f t="shared" si="100"/>
        <v>1006</v>
      </c>
    </row>
    <row r="1075" spans="1:3">
      <c r="A1075" s="108">
        <v>1068</v>
      </c>
      <c r="B1075" s="108">
        <f t="shared" si="99"/>
        <v>368</v>
      </c>
      <c r="C1075" s="108">
        <f t="shared" si="100"/>
        <v>1006</v>
      </c>
    </row>
    <row r="1076" spans="1:3">
      <c r="A1076" s="108">
        <v>1069</v>
      </c>
      <c r="B1076" s="108">
        <f t="shared" si="99"/>
        <v>368</v>
      </c>
      <c r="C1076" s="108">
        <f t="shared" si="100"/>
        <v>1006</v>
      </c>
    </row>
    <row r="1077" spans="1:3">
      <c r="A1077" s="108">
        <v>1070</v>
      </c>
      <c r="B1077" s="108">
        <f t="shared" si="99"/>
        <v>368</v>
      </c>
      <c r="C1077" s="108">
        <f t="shared" si="100"/>
        <v>1006</v>
      </c>
    </row>
    <row r="1078" spans="1:3">
      <c r="A1078" s="108">
        <v>1071</v>
      </c>
      <c r="B1078" s="108">
        <f t="shared" si="99"/>
        <v>368</v>
      </c>
      <c r="C1078" s="108">
        <f t="shared" si="100"/>
        <v>1006</v>
      </c>
    </row>
    <row r="1079" spans="1:3">
      <c r="A1079" s="108">
        <v>1072</v>
      </c>
      <c r="B1079" s="108">
        <f t="shared" si="99"/>
        <v>368</v>
      </c>
      <c r="C1079" s="108">
        <f t="shared" si="100"/>
        <v>1006</v>
      </c>
    </row>
    <row r="1080" spans="1:3">
      <c r="A1080" s="108">
        <v>1073</v>
      </c>
      <c r="B1080" s="108">
        <f t="shared" si="99"/>
        <v>368</v>
      </c>
      <c r="C1080" s="108">
        <f t="shared" si="100"/>
        <v>1006</v>
      </c>
    </row>
    <row r="1081" spans="1:3">
      <c r="A1081" s="108">
        <v>1074</v>
      </c>
      <c r="B1081" s="108">
        <f t="shared" si="99"/>
        <v>368</v>
      </c>
      <c r="C1081" s="108">
        <f t="shared" si="100"/>
        <v>1006</v>
      </c>
    </row>
    <row r="1082" spans="1:3">
      <c r="A1082" s="108">
        <v>1075</v>
      </c>
      <c r="B1082" s="108">
        <f t="shared" si="99"/>
        <v>368</v>
      </c>
      <c r="C1082" s="108">
        <f t="shared" si="100"/>
        <v>1006</v>
      </c>
    </row>
    <row r="1083" spans="1:3">
      <c r="A1083" s="108">
        <v>1076</v>
      </c>
      <c r="B1083" s="108">
        <f t="shared" si="99"/>
        <v>368</v>
      </c>
      <c r="C1083" s="108">
        <f t="shared" si="100"/>
        <v>1006</v>
      </c>
    </row>
    <row r="1084" spans="1:3">
      <c r="A1084" s="108">
        <v>1077</v>
      </c>
      <c r="B1084" s="108">
        <f t="shared" si="99"/>
        <v>368</v>
      </c>
      <c r="C1084" s="108">
        <f t="shared" si="100"/>
        <v>1006</v>
      </c>
    </row>
    <row r="1085" spans="1:3">
      <c r="A1085" s="108">
        <v>1078</v>
      </c>
      <c r="B1085" s="108">
        <f t="shared" si="99"/>
        <v>368</v>
      </c>
      <c r="C1085" s="108">
        <f t="shared" si="100"/>
        <v>1006</v>
      </c>
    </row>
    <row r="1086" spans="1:3">
      <c r="A1086" s="108">
        <v>1079</v>
      </c>
      <c r="B1086" s="108">
        <f t="shared" si="99"/>
        <v>368</v>
      </c>
      <c r="C1086" s="108">
        <f t="shared" si="100"/>
        <v>1006</v>
      </c>
    </row>
    <row r="1087" spans="1:3">
      <c r="A1087" s="108">
        <v>1080</v>
      </c>
      <c r="B1087" s="108">
        <f t="shared" si="99"/>
        <v>368</v>
      </c>
      <c r="C1087" s="108">
        <f t="shared" si="100"/>
        <v>1006</v>
      </c>
    </row>
    <row r="1088" spans="1:3">
      <c r="A1088" s="108">
        <v>1081</v>
      </c>
      <c r="B1088" s="108">
        <f t="shared" si="99"/>
        <v>368</v>
      </c>
      <c r="C1088" s="108">
        <f t="shared" si="100"/>
        <v>1006</v>
      </c>
    </row>
    <row r="1089" spans="1:3">
      <c r="A1089" s="108">
        <v>1082</v>
      </c>
      <c r="B1089" s="108">
        <f t="shared" si="99"/>
        <v>368</v>
      </c>
      <c r="C1089" s="108">
        <f t="shared" si="100"/>
        <v>1006</v>
      </c>
    </row>
    <row r="1090" spans="1:3">
      <c r="A1090" s="108">
        <v>1083</v>
      </c>
      <c r="B1090" s="108">
        <f t="shared" si="99"/>
        <v>368</v>
      </c>
      <c r="C1090" s="108">
        <f t="shared" si="100"/>
        <v>1006</v>
      </c>
    </row>
    <row r="1091" spans="1:3">
      <c r="A1091" s="108">
        <v>1084</v>
      </c>
      <c r="B1091" s="108">
        <f t="shared" si="99"/>
        <v>368</v>
      </c>
      <c r="C1091" s="108">
        <f t="shared" si="100"/>
        <v>1006</v>
      </c>
    </row>
    <row r="1092" spans="1:3">
      <c r="A1092" s="108">
        <v>1085</v>
      </c>
      <c r="B1092" s="108">
        <f t="shared" si="99"/>
        <v>368</v>
      </c>
      <c r="C1092" s="108">
        <f t="shared" si="100"/>
        <v>1006</v>
      </c>
    </row>
    <row r="1093" spans="1:3">
      <c r="A1093" s="108">
        <v>1086</v>
      </c>
      <c r="B1093" s="108">
        <f t="shared" si="99"/>
        <v>368</v>
      </c>
      <c r="C1093" s="108">
        <f t="shared" si="100"/>
        <v>1006</v>
      </c>
    </row>
    <row r="1094" spans="1:3">
      <c r="A1094" s="108">
        <v>1087</v>
      </c>
      <c r="B1094" s="108">
        <f t="shared" si="99"/>
        <v>368</v>
      </c>
      <c r="C1094" s="108">
        <f t="shared" si="100"/>
        <v>1006</v>
      </c>
    </row>
    <row r="1095" spans="1:3">
      <c r="A1095" s="108">
        <v>1088</v>
      </c>
      <c r="B1095" s="108">
        <f t="shared" si="99"/>
        <v>368</v>
      </c>
      <c r="C1095" s="108">
        <f t="shared" si="100"/>
        <v>1006</v>
      </c>
    </row>
    <row r="1096" spans="1:3">
      <c r="A1096" s="108">
        <v>1089</v>
      </c>
      <c r="B1096" s="108">
        <f t="shared" si="99"/>
        <v>368</v>
      </c>
      <c r="C1096" s="108">
        <f t="shared" si="100"/>
        <v>1006</v>
      </c>
    </row>
    <row r="1097" spans="1:3">
      <c r="A1097" s="108">
        <v>1090</v>
      </c>
      <c r="B1097" s="108">
        <f t="shared" si="99"/>
        <v>368</v>
      </c>
      <c r="C1097" s="108">
        <f t="shared" si="100"/>
        <v>1006</v>
      </c>
    </row>
    <row r="1098" spans="1:3">
      <c r="A1098" s="108">
        <v>1091</v>
      </c>
      <c r="B1098" s="108">
        <f t="shared" si="99"/>
        <v>368</v>
      </c>
      <c r="C1098" s="108">
        <f t="shared" si="100"/>
        <v>1006</v>
      </c>
    </row>
    <row r="1099" spans="1:3">
      <c r="A1099" s="108">
        <v>1092</v>
      </c>
      <c r="B1099" s="108">
        <f t="shared" si="99"/>
        <v>368</v>
      </c>
      <c r="C1099" s="108">
        <f t="shared" si="100"/>
        <v>1006</v>
      </c>
    </row>
    <row r="1100" spans="1:3">
      <c r="A1100" s="108">
        <v>1093</v>
      </c>
      <c r="B1100" s="108">
        <f t="shared" si="99"/>
        <v>368</v>
      </c>
      <c r="C1100" s="108">
        <f t="shared" si="100"/>
        <v>1006</v>
      </c>
    </row>
    <row r="1101" spans="1:3">
      <c r="A1101" s="108">
        <v>1094</v>
      </c>
      <c r="B1101" s="108">
        <f t="shared" si="99"/>
        <v>368</v>
      </c>
      <c r="C1101" s="108">
        <f t="shared" si="100"/>
        <v>1006</v>
      </c>
    </row>
    <row r="1102" spans="1:3">
      <c r="A1102" s="108">
        <v>1095</v>
      </c>
      <c r="B1102" s="108">
        <f t="shared" si="99"/>
        <v>368</v>
      </c>
      <c r="C1102" s="108">
        <f t="shared" si="100"/>
        <v>1006</v>
      </c>
    </row>
    <row r="1103" spans="1:3">
      <c r="A1103" s="108">
        <v>1096</v>
      </c>
      <c r="B1103" s="108">
        <f t="shared" si="99"/>
        <v>368</v>
      </c>
      <c r="C1103" s="108">
        <f t="shared" si="100"/>
        <v>1006</v>
      </c>
    </row>
    <row r="1104" spans="1:3">
      <c r="A1104" s="108">
        <v>1097</v>
      </c>
      <c r="B1104" s="108">
        <f t="shared" si="99"/>
        <v>368</v>
      </c>
      <c r="C1104" s="108">
        <f t="shared" si="100"/>
        <v>1006</v>
      </c>
    </row>
    <row r="1105" spans="1:3">
      <c r="A1105" s="108">
        <v>1098</v>
      </c>
      <c r="B1105" s="108">
        <f t="shared" si="99"/>
        <v>368</v>
      </c>
      <c r="C1105" s="108">
        <f t="shared" si="100"/>
        <v>1006</v>
      </c>
    </row>
    <row r="1106" spans="1:3">
      <c r="A1106" s="108">
        <v>1099</v>
      </c>
      <c r="B1106" s="108">
        <f t="shared" si="99"/>
        <v>368</v>
      </c>
      <c r="C1106" s="108">
        <f t="shared" si="100"/>
        <v>1006</v>
      </c>
    </row>
    <row r="1107" spans="1:3">
      <c r="A1107" s="108">
        <v>1100</v>
      </c>
      <c r="B1107" s="108">
        <f t="shared" si="99"/>
        <v>368</v>
      </c>
      <c r="C1107" s="108">
        <f t="shared" si="100"/>
        <v>1006</v>
      </c>
    </row>
    <row r="1108" spans="1:3">
      <c r="A1108" s="108">
        <v>1101</v>
      </c>
      <c r="B1108" s="108">
        <f t="shared" si="99"/>
        <v>368</v>
      </c>
      <c r="C1108" s="108">
        <f t="shared" si="100"/>
        <v>1006</v>
      </c>
    </row>
    <row r="1109" spans="1:3">
      <c r="A1109" s="108">
        <v>1102</v>
      </c>
      <c r="B1109" s="108">
        <f t="shared" si="99"/>
        <v>368</v>
      </c>
      <c r="C1109" s="108">
        <f t="shared" si="100"/>
        <v>1006</v>
      </c>
    </row>
    <row r="1110" spans="1:3">
      <c r="A1110" s="108">
        <v>1103</v>
      </c>
      <c r="B1110" s="108">
        <f t="shared" si="99"/>
        <v>368</v>
      </c>
      <c r="C1110" s="108">
        <f t="shared" si="100"/>
        <v>1006</v>
      </c>
    </row>
    <row r="1111" spans="1:3">
      <c r="A1111" s="108">
        <v>1104</v>
      </c>
      <c r="B1111" s="108">
        <f t="shared" si="99"/>
        <v>368</v>
      </c>
      <c r="C1111" s="108">
        <f t="shared" si="100"/>
        <v>1006</v>
      </c>
    </row>
    <row r="1112" spans="1:3">
      <c r="A1112" s="108">
        <v>1105</v>
      </c>
      <c r="B1112" s="108">
        <f t="shared" si="99"/>
        <v>368</v>
      </c>
      <c r="C1112" s="108">
        <f t="shared" si="100"/>
        <v>1006</v>
      </c>
    </row>
    <row r="1113" spans="1:3">
      <c r="A1113" s="108">
        <v>1106</v>
      </c>
      <c r="B1113" s="108">
        <f t="shared" si="99"/>
        <v>368</v>
      </c>
      <c r="C1113" s="108">
        <f t="shared" si="100"/>
        <v>1006</v>
      </c>
    </row>
    <row r="1114" spans="1:3">
      <c r="A1114" s="108">
        <v>1107</v>
      </c>
      <c r="B1114" s="108">
        <f t="shared" si="99"/>
        <v>368</v>
      </c>
      <c r="C1114" s="108">
        <f t="shared" si="100"/>
        <v>1006</v>
      </c>
    </row>
    <row r="1115" spans="1:3">
      <c r="A1115" s="108">
        <v>1108</v>
      </c>
      <c r="B1115" s="108">
        <f t="shared" si="99"/>
        <v>368</v>
      </c>
      <c r="C1115" s="108">
        <f t="shared" si="100"/>
        <v>1006</v>
      </c>
    </row>
    <row r="1116" spans="1:3">
      <c r="A1116" s="108">
        <v>1109</v>
      </c>
      <c r="B1116" s="108">
        <f t="shared" si="99"/>
        <v>368</v>
      </c>
      <c r="C1116" s="108">
        <f t="shared" si="100"/>
        <v>1006</v>
      </c>
    </row>
    <row r="1117" spans="1:3">
      <c r="A1117" s="108">
        <v>1110</v>
      </c>
      <c r="B1117" s="108">
        <f t="shared" si="99"/>
        <v>368</v>
      </c>
      <c r="C1117" s="108">
        <f t="shared" si="100"/>
        <v>1006</v>
      </c>
    </row>
    <row r="1118" spans="1:3">
      <c r="A1118" s="108">
        <v>1111</v>
      </c>
      <c r="B1118" s="108">
        <f t="shared" si="99"/>
        <v>368</v>
      </c>
      <c r="C1118" s="108">
        <f t="shared" si="100"/>
        <v>1006</v>
      </c>
    </row>
    <row r="1119" spans="1:3">
      <c r="A1119" s="108">
        <v>1112</v>
      </c>
      <c r="B1119" s="108">
        <f t="shared" si="99"/>
        <v>368</v>
      </c>
      <c r="C1119" s="108">
        <f t="shared" si="100"/>
        <v>1006</v>
      </c>
    </row>
    <row r="1120" spans="1:3">
      <c r="A1120" s="108">
        <v>1113</v>
      </c>
      <c r="B1120" s="108">
        <f t="shared" si="99"/>
        <v>368</v>
      </c>
      <c r="C1120" s="108">
        <f t="shared" si="100"/>
        <v>1006</v>
      </c>
    </row>
    <row r="1121" spans="1:3">
      <c r="A1121" s="108">
        <v>1114</v>
      </c>
      <c r="B1121" s="108">
        <f t="shared" si="99"/>
        <v>368</v>
      </c>
      <c r="C1121" s="108">
        <f t="shared" si="100"/>
        <v>1006</v>
      </c>
    </row>
    <row r="1122" spans="1:3">
      <c r="A1122" s="108">
        <v>1115</v>
      </c>
      <c r="B1122" s="108">
        <f t="shared" si="99"/>
        <v>368</v>
      </c>
      <c r="C1122" s="108">
        <f t="shared" si="100"/>
        <v>1006</v>
      </c>
    </row>
    <row r="1123" spans="1:3">
      <c r="A1123" s="108">
        <v>1116</v>
      </c>
      <c r="B1123" s="108">
        <f t="shared" si="99"/>
        <v>368</v>
      </c>
      <c r="C1123" s="108">
        <f t="shared" si="100"/>
        <v>1006</v>
      </c>
    </row>
    <row r="1124" spans="1:3">
      <c r="A1124" s="108">
        <v>1117</v>
      </c>
      <c r="B1124" s="108">
        <f t="shared" si="99"/>
        <v>368</v>
      </c>
      <c r="C1124" s="108">
        <f t="shared" si="100"/>
        <v>1006</v>
      </c>
    </row>
    <row r="1125" spans="1:3">
      <c r="A1125" s="108">
        <v>1118</v>
      </c>
      <c r="B1125" s="108">
        <f t="shared" si="99"/>
        <v>368</v>
      </c>
      <c r="C1125" s="108">
        <f t="shared" si="100"/>
        <v>1006</v>
      </c>
    </row>
    <row r="1126" spans="1:3">
      <c r="A1126" s="108">
        <v>1119</v>
      </c>
      <c r="B1126" s="108">
        <f t="shared" si="99"/>
        <v>368</v>
      </c>
      <c r="C1126" s="108">
        <f t="shared" si="100"/>
        <v>1006</v>
      </c>
    </row>
    <row r="1127" spans="1:3">
      <c r="A1127" s="108">
        <v>1120</v>
      </c>
      <c r="B1127" s="108">
        <f t="shared" si="99"/>
        <v>368</v>
      </c>
      <c r="C1127" s="108">
        <f t="shared" si="100"/>
        <v>1006</v>
      </c>
    </row>
    <row r="1128" spans="1:3">
      <c r="A1128" s="108">
        <v>1121</v>
      </c>
      <c r="B1128" s="108">
        <f t="shared" si="99"/>
        <v>368</v>
      </c>
      <c r="C1128" s="108">
        <f t="shared" si="100"/>
        <v>1006</v>
      </c>
    </row>
    <row r="1129" spans="1:3">
      <c r="A1129" s="108">
        <v>1122</v>
      </c>
      <c r="B1129" s="108">
        <f t="shared" si="99"/>
        <v>368</v>
      </c>
      <c r="C1129" s="108">
        <f t="shared" si="100"/>
        <v>1006</v>
      </c>
    </row>
    <row r="1130" spans="1:3">
      <c r="A1130" s="108">
        <v>1123</v>
      </c>
      <c r="B1130" s="108">
        <f t="shared" si="99"/>
        <v>368</v>
      </c>
      <c r="C1130" s="108">
        <f t="shared" si="100"/>
        <v>1006</v>
      </c>
    </row>
    <row r="1131" spans="1:3">
      <c r="A1131" s="108">
        <v>1124</v>
      </c>
      <c r="B1131" s="108">
        <f t="shared" si="99"/>
        <v>368</v>
      </c>
      <c r="C1131" s="108">
        <f t="shared" si="100"/>
        <v>1006</v>
      </c>
    </row>
    <row r="1132" spans="1:3">
      <c r="A1132" s="108">
        <v>1125</v>
      </c>
      <c r="B1132" s="108">
        <f t="shared" si="99"/>
        <v>368</v>
      </c>
      <c r="C1132" s="108">
        <f t="shared" si="100"/>
        <v>1006</v>
      </c>
    </row>
    <row r="1133" spans="1:3">
      <c r="A1133" s="108">
        <v>1126</v>
      </c>
      <c r="B1133" s="108">
        <f t="shared" si="99"/>
        <v>368</v>
      </c>
      <c r="C1133" s="108">
        <f t="shared" si="100"/>
        <v>1006</v>
      </c>
    </row>
    <row r="1134" spans="1:3">
      <c r="A1134" s="108">
        <v>1127</v>
      </c>
      <c r="B1134" s="108">
        <f t="shared" si="99"/>
        <v>368</v>
      </c>
      <c r="C1134" s="108">
        <f t="shared" si="100"/>
        <v>1006</v>
      </c>
    </row>
    <row r="1135" spans="1:3">
      <c r="A1135" s="108">
        <v>1128</v>
      </c>
      <c r="B1135" s="108">
        <f t="shared" ref="B1135:B1198" si="101">IF(B1134=F1135,A1135,B1134)</f>
        <v>368</v>
      </c>
      <c r="C1135" s="108">
        <f t="shared" ref="C1135:C1198" si="102" xml:space="preserve"> IF(C1134=F1135,A1135,C1134)</f>
        <v>1006</v>
      </c>
    </row>
    <row r="1136" spans="1:3">
      <c r="A1136" s="108">
        <v>1129</v>
      </c>
      <c r="B1136" s="108">
        <f t="shared" si="101"/>
        <v>368</v>
      </c>
      <c r="C1136" s="108">
        <f t="shared" si="102"/>
        <v>1006</v>
      </c>
    </row>
    <row r="1137" spans="1:3">
      <c r="A1137" s="108">
        <v>1130</v>
      </c>
      <c r="B1137" s="108">
        <f t="shared" si="101"/>
        <v>368</v>
      </c>
      <c r="C1137" s="108">
        <f t="shared" si="102"/>
        <v>1006</v>
      </c>
    </row>
    <row r="1138" spans="1:3">
      <c r="A1138" s="108">
        <v>1131</v>
      </c>
      <c r="B1138" s="108">
        <f t="shared" si="101"/>
        <v>368</v>
      </c>
      <c r="C1138" s="108">
        <f t="shared" si="102"/>
        <v>1006</v>
      </c>
    </row>
    <row r="1139" spans="1:3">
      <c r="A1139" s="108">
        <v>1132</v>
      </c>
      <c r="B1139" s="108">
        <f t="shared" si="101"/>
        <v>368</v>
      </c>
      <c r="C1139" s="108">
        <f t="shared" si="102"/>
        <v>1006</v>
      </c>
    </row>
    <row r="1140" spans="1:3">
      <c r="A1140" s="108">
        <v>1133</v>
      </c>
      <c r="B1140" s="108">
        <f t="shared" si="101"/>
        <v>368</v>
      </c>
      <c r="C1140" s="108">
        <f t="shared" si="102"/>
        <v>1006</v>
      </c>
    </row>
    <row r="1141" spans="1:3">
      <c r="A1141" s="108">
        <v>1134</v>
      </c>
      <c r="B1141" s="108">
        <f t="shared" si="101"/>
        <v>368</v>
      </c>
      <c r="C1141" s="108">
        <f t="shared" si="102"/>
        <v>1006</v>
      </c>
    </row>
    <row r="1142" spans="1:3">
      <c r="A1142" s="108">
        <v>1135</v>
      </c>
      <c r="B1142" s="108">
        <f t="shared" si="101"/>
        <v>368</v>
      </c>
      <c r="C1142" s="108">
        <f t="shared" si="102"/>
        <v>1006</v>
      </c>
    </row>
    <row r="1143" spans="1:3">
      <c r="A1143" s="108">
        <v>1136</v>
      </c>
      <c r="B1143" s="108">
        <f t="shared" si="101"/>
        <v>368</v>
      </c>
      <c r="C1143" s="108">
        <f t="shared" si="102"/>
        <v>1006</v>
      </c>
    </row>
    <row r="1144" spans="1:3">
      <c r="A1144" s="108">
        <v>1137</v>
      </c>
      <c r="B1144" s="108">
        <f t="shared" si="101"/>
        <v>368</v>
      </c>
      <c r="C1144" s="108">
        <f t="shared" si="102"/>
        <v>1006</v>
      </c>
    </row>
    <row r="1145" spans="1:3">
      <c r="A1145" s="108">
        <v>1138</v>
      </c>
      <c r="B1145" s="108">
        <f t="shared" si="101"/>
        <v>368</v>
      </c>
      <c r="C1145" s="108">
        <f t="shared" si="102"/>
        <v>1006</v>
      </c>
    </row>
    <row r="1146" spans="1:3">
      <c r="A1146" s="108">
        <v>1139</v>
      </c>
      <c r="B1146" s="108">
        <f t="shared" si="101"/>
        <v>368</v>
      </c>
      <c r="C1146" s="108">
        <f t="shared" si="102"/>
        <v>1006</v>
      </c>
    </row>
    <row r="1147" spans="1:3">
      <c r="A1147" s="108">
        <v>1140</v>
      </c>
      <c r="B1147" s="108">
        <f t="shared" si="101"/>
        <v>368</v>
      </c>
      <c r="C1147" s="108">
        <f t="shared" si="102"/>
        <v>1006</v>
      </c>
    </row>
    <row r="1148" spans="1:3">
      <c r="A1148" s="108">
        <v>1141</v>
      </c>
      <c r="B1148" s="108">
        <f t="shared" si="101"/>
        <v>368</v>
      </c>
      <c r="C1148" s="108">
        <f t="shared" si="102"/>
        <v>1006</v>
      </c>
    </row>
    <row r="1149" spans="1:3">
      <c r="A1149" s="108">
        <v>1142</v>
      </c>
      <c r="B1149" s="108">
        <f t="shared" si="101"/>
        <v>368</v>
      </c>
      <c r="C1149" s="108">
        <f t="shared" si="102"/>
        <v>1006</v>
      </c>
    </row>
    <row r="1150" spans="1:3">
      <c r="A1150" s="108">
        <v>1143</v>
      </c>
      <c r="B1150" s="108">
        <f t="shared" si="101"/>
        <v>368</v>
      </c>
      <c r="C1150" s="108">
        <f t="shared" si="102"/>
        <v>1006</v>
      </c>
    </row>
    <row r="1151" spans="1:3">
      <c r="A1151" s="108">
        <v>1144</v>
      </c>
      <c r="B1151" s="108">
        <f t="shared" si="101"/>
        <v>368</v>
      </c>
      <c r="C1151" s="108">
        <f t="shared" si="102"/>
        <v>1006</v>
      </c>
    </row>
    <row r="1152" spans="1:3">
      <c r="A1152" s="108">
        <v>1145</v>
      </c>
      <c r="B1152" s="108">
        <f t="shared" si="101"/>
        <v>368</v>
      </c>
      <c r="C1152" s="108">
        <f t="shared" si="102"/>
        <v>1006</v>
      </c>
    </row>
    <row r="1153" spans="1:3">
      <c r="A1153" s="108">
        <v>1146</v>
      </c>
      <c r="B1153" s="108">
        <f t="shared" si="101"/>
        <v>368</v>
      </c>
      <c r="C1153" s="108">
        <f t="shared" si="102"/>
        <v>1006</v>
      </c>
    </row>
    <row r="1154" spans="1:3">
      <c r="A1154" s="108">
        <v>1147</v>
      </c>
      <c r="B1154" s="108">
        <f t="shared" si="101"/>
        <v>368</v>
      </c>
      <c r="C1154" s="108">
        <f t="shared" si="102"/>
        <v>1006</v>
      </c>
    </row>
    <row r="1155" spans="1:3">
      <c r="A1155" s="108">
        <v>1148</v>
      </c>
      <c r="B1155" s="108">
        <f t="shared" si="101"/>
        <v>368</v>
      </c>
      <c r="C1155" s="108">
        <f t="shared" si="102"/>
        <v>1006</v>
      </c>
    </row>
    <row r="1156" spans="1:3">
      <c r="A1156" s="108">
        <v>1149</v>
      </c>
      <c r="B1156" s="108">
        <f t="shared" si="101"/>
        <v>368</v>
      </c>
      <c r="C1156" s="108">
        <f t="shared" si="102"/>
        <v>1006</v>
      </c>
    </row>
    <row r="1157" spans="1:3">
      <c r="A1157" s="108">
        <v>1150</v>
      </c>
      <c r="B1157" s="108">
        <f t="shared" si="101"/>
        <v>368</v>
      </c>
      <c r="C1157" s="108">
        <f t="shared" si="102"/>
        <v>1006</v>
      </c>
    </row>
    <row r="1158" spans="1:3">
      <c r="A1158" s="108">
        <v>1151</v>
      </c>
      <c r="B1158" s="108">
        <f t="shared" si="101"/>
        <v>368</v>
      </c>
      <c r="C1158" s="108">
        <f t="shared" si="102"/>
        <v>1006</v>
      </c>
    </row>
    <row r="1159" spans="1:3">
      <c r="A1159" s="108">
        <v>1152</v>
      </c>
      <c r="B1159" s="108">
        <f t="shared" si="101"/>
        <v>368</v>
      </c>
      <c r="C1159" s="108">
        <f t="shared" si="102"/>
        <v>1006</v>
      </c>
    </row>
    <row r="1160" spans="1:3">
      <c r="A1160" s="108">
        <v>1153</v>
      </c>
      <c r="B1160" s="108">
        <f t="shared" si="101"/>
        <v>368</v>
      </c>
      <c r="C1160" s="108">
        <f t="shared" si="102"/>
        <v>1006</v>
      </c>
    </row>
    <row r="1161" spans="1:3">
      <c r="A1161" s="108">
        <v>1154</v>
      </c>
      <c r="B1161" s="108">
        <f t="shared" si="101"/>
        <v>368</v>
      </c>
      <c r="C1161" s="108">
        <f t="shared" si="102"/>
        <v>1006</v>
      </c>
    </row>
    <row r="1162" spans="1:3">
      <c r="A1162" s="108">
        <v>1155</v>
      </c>
      <c r="B1162" s="108">
        <f t="shared" si="101"/>
        <v>368</v>
      </c>
      <c r="C1162" s="108">
        <f t="shared" si="102"/>
        <v>1006</v>
      </c>
    </row>
    <row r="1163" spans="1:3">
      <c r="A1163" s="108">
        <v>1156</v>
      </c>
      <c r="B1163" s="108">
        <f t="shared" si="101"/>
        <v>368</v>
      </c>
      <c r="C1163" s="108">
        <f t="shared" si="102"/>
        <v>1006</v>
      </c>
    </row>
    <row r="1164" spans="1:3">
      <c r="A1164" s="108">
        <v>1157</v>
      </c>
      <c r="B1164" s="108">
        <f t="shared" si="101"/>
        <v>368</v>
      </c>
      <c r="C1164" s="108">
        <f t="shared" si="102"/>
        <v>1006</v>
      </c>
    </row>
    <row r="1165" spans="1:3">
      <c r="A1165" s="108">
        <v>1158</v>
      </c>
      <c r="B1165" s="108">
        <f t="shared" si="101"/>
        <v>368</v>
      </c>
      <c r="C1165" s="108">
        <f t="shared" si="102"/>
        <v>1006</v>
      </c>
    </row>
    <row r="1166" spans="1:3">
      <c r="A1166" s="108">
        <v>1159</v>
      </c>
      <c r="B1166" s="108">
        <f t="shared" si="101"/>
        <v>368</v>
      </c>
      <c r="C1166" s="108">
        <f t="shared" si="102"/>
        <v>1006</v>
      </c>
    </row>
    <row r="1167" spans="1:3">
      <c r="A1167" s="108">
        <v>1160</v>
      </c>
      <c r="B1167" s="108">
        <f t="shared" si="101"/>
        <v>368</v>
      </c>
      <c r="C1167" s="108">
        <f t="shared" si="102"/>
        <v>1006</v>
      </c>
    </row>
    <row r="1168" spans="1:3">
      <c r="A1168" s="108">
        <v>1161</v>
      </c>
      <c r="B1168" s="108">
        <f t="shared" si="101"/>
        <v>368</v>
      </c>
      <c r="C1168" s="108">
        <f t="shared" si="102"/>
        <v>1006</v>
      </c>
    </row>
    <row r="1169" spans="1:3">
      <c r="A1169" s="108">
        <v>1162</v>
      </c>
      <c r="B1169" s="108">
        <f t="shared" si="101"/>
        <v>368</v>
      </c>
      <c r="C1169" s="108">
        <f t="shared" si="102"/>
        <v>1006</v>
      </c>
    </row>
    <row r="1170" spans="1:3">
      <c r="A1170" s="108">
        <v>1163</v>
      </c>
      <c r="B1170" s="108">
        <f t="shared" si="101"/>
        <v>368</v>
      </c>
      <c r="C1170" s="108">
        <f t="shared" si="102"/>
        <v>1006</v>
      </c>
    </row>
    <row r="1171" spans="1:3">
      <c r="A1171" s="108">
        <v>1164</v>
      </c>
      <c r="B1171" s="108">
        <f t="shared" si="101"/>
        <v>368</v>
      </c>
      <c r="C1171" s="108">
        <f t="shared" si="102"/>
        <v>1006</v>
      </c>
    </row>
    <row r="1172" spans="1:3">
      <c r="A1172" s="108">
        <v>1165</v>
      </c>
      <c r="B1172" s="108">
        <f t="shared" si="101"/>
        <v>368</v>
      </c>
      <c r="C1172" s="108">
        <f t="shared" si="102"/>
        <v>1006</v>
      </c>
    </row>
    <row r="1173" spans="1:3">
      <c r="A1173" s="108">
        <v>1166</v>
      </c>
      <c r="B1173" s="108">
        <f t="shared" si="101"/>
        <v>368</v>
      </c>
      <c r="C1173" s="108">
        <f t="shared" si="102"/>
        <v>1006</v>
      </c>
    </row>
    <row r="1174" spans="1:3">
      <c r="A1174" s="108">
        <v>1167</v>
      </c>
      <c r="B1174" s="108">
        <f t="shared" si="101"/>
        <v>368</v>
      </c>
      <c r="C1174" s="108">
        <f t="shared" si="102"/>
        <v>1006</v>
      </c>
    </row>
    <row r="1175" spans="1:3">
      <c r="A1175" s="108">
        <v>1168</v>
      </c>
      <c r="B1175" s="108">
        <f t="shared" si="101"/>
        <v>368</v>
      </c>
      <c r="C1175" s="108">
        <f t="shared" si="102"/>
        <v>1006</v>
      </c>
    </row>
    <row r="1176" spans="1:3">
      <c r="A1176" s="108">
        <v>1169</v>
      </c>
      <c r="B1176" s="108">
        <f t="shared" si="101"/>
        <v>368</v>
      </c>
      <c r="C1176" s="108">
        <f t="shared" si="102"/>
        <v>1006</v>
      </c>
    </row>
    <row r="1177" spans="1:3">
      <c r="A1177" s="108">
        <v>1170</v>
      </c>
      <c r="B1177" s="108">
        <f t="shared" si="101"/>
        <v>368</v>
      </c>
      <c r="C1177" s="108">
        <f t="shared" si="102"/>
        <v>1006</v>
      </c>
    </row>
    <row r="1178" spans="1:3">
      <c r="A1178" s="108">
        <v>1171</v>
      </c>
      <c r="B1178" s="108">
        <f t="shared" si="101"/>
        <v>368</v>
      </c>
      <c r="C1178" s="108">
        <f t="shared" si="102"/>
        <v>1006</v>
      </c>
    </row>
    <row r="1179" spans="1:3">
      <c r="A1179" s="108">
        <v>1172</v>
      </c>
      <c r="B1179" s="108">
        <f t="shared" si="101"/>
        <v>368</v>
      </c>
      <c r="C1179" s="108">
        <f t="shared" si="102"/>
        <v>1006</v>
      </c>
    </row>
    <row r="1180" spans="1:3">
      <c r="A1180" s="108">
        <v>1173</v>
      </c>
      <c r="B1180" s="108">
        <f t="shared" si="101"/>
        <v>368</v>
      </c>
      <c r="C1180" s="108">
        <f t="shared" si="102"/>
        <v>1006</v>
      </c>
    </row>
    <row r="1181" spans="1:3">
      <c r="A1181" s="108">
        <v>1174</v>
      </c>
      <c r="B1181" s="108">
        <f t="shared" si="101"/>
        <v>368</v>
      </c>
      <c r="C1181" s="108">
        <f t="shared" si="102"/>
        <v>1006</v>
      </c>
    </row>
    <row r="1182" spans="1:3">
      <c r="A1182" s="108">
        <v>1175</v>
      </c>
      <c r="B1182" s="108">
        <f t="shared" si="101"/>
        <v>368</v>
      </c>
      <c r="C1182" s="108">
        <f t="shared" si="102"/>
        <v>1006</v>
      </c>
    </row>
    <row r="1183" spans="1:3">
      <c r="A1183" s="108">
        <v>1176</v>
      </c>
      <c r="B1183" s="108">
        <f t="shared" si="101"/>
        <v>368</v>
      </c>
      <c r="C1183" s="108">
        <f t="shared" si="102"/>
        <v>1006</v>
      </c>
    </row>
    <row r="1184" spans="1:3">
      <c r="A1184" s="108">
        <v>1177</v>
      </c>
      <c r="B1184" s="108">
        <f t="shared" si="101"/>
        <v>368</v>
      </c>
      <c r="C1184" s="108">
        <f t="shared" si="102"/>
        <v>1006</v>
      </c>
    </row>
    <row r="1185" spans="1:3">
      <c r="A1185" s="108">
        <v>1178</v>
      </c>
      <c r="B1185" s="108">
        <f t="shared" si="101"/>
        <v>368</v>
      </c>
      <c r="C1185" s="108">
        <f t="shared" si="102"/>
        <v>1006</v>
      </c>
    </row>
    <row r="1186" spans="1:3">
      <c r="A1186" s="108">
        <v>1179</v>
      </c>
      <c r="B1186" s="108">
        <f t="shared" si="101"/>
        <v>368</v>
      </c>
      <c r="C1186" s="108">
        <f t="shared" si="102"/>
        <v>1006</v>
      </c>
    </row>
    <row r="1187" spans="1:3">
      <c r="A1187" s="108">
        <v>1180</v>
      </c>
      <c r="B1187" s="108">
        <f t="shared" si="101"/>
        <v>368</v>
      </c>
      <c r="C1187" s="108">
        <f t="shared" si="102"/>
        <v>1006</v>
      </c>
    </row>
    <row r="1188" spans="1:3">
      <c r="A1188" s="108">
        <v>1181</v>
      </c>
      <c r="B1188" s="108">
        <f t="shared" si="101"/>
        <v>368</v>
      </c>
      <c r="C1188" s="108">
        <f t="shared" si="102"/>
        <v>1006</v>
      </c>
    </row>
    <row r="1189" spans="1:3">
      <c r="A1189" s="108">
        <v>1182</v>
      </c>
      <c r="B1189" s="108">
        <f t="shared" si="101"/>
        <v>368</v>
      </c>
      <c r="C1189" s="108">
        <f t="shared" si="102"/>
        <v>1006</v>
      </c>
    </row>
    <row r="1190" spans="1:3">
      <c r="A1190" s="108">
        <v>1183</v>
      </c>
      <c r="B1190" s="108">
        <f t="shared" si="101"/>
        <v>368</v>
      </c>
      <c r="C1190" s="108">
        <f t="shared" si="102"/>
        <v>1006</v>
      </c>
    </row>
    <row r="1191" spans="1:3">
      <c r="A1191" s="108">
        <v>1184</v>
      </c>
      <c r="B1191" s="108">
        <f t="shared" si="101"/>
        <v>368</v>
      </c>
      <c r="C1191" s="108">
        <f t="shared" si="102"/>
        <v>1006</v>
      </c>
    </row>
    <row r="1192" spans="1:3">
      <c r="A1192" s="108">
        <v>1185</v>
      </c>
      <c r="B1192" s="108">
        <f t="shared" si="101"/>
        <v>368</v>
      </c>
      <c r="C1192" s="108">
        <f t="shared" si="102"/>
        <v>1006</v>
      </c>
    </row>
    <row r="1193" spans="1:3">
      <c r="A1193" s="108">
        <v>1186</v>
      </c>
      <c r="B1193" s="108">
        <f t="shared" si="101"/>
        <v>368</v>
      </c>
      <c r="C1193" s="108">
        <f t="shared" si="102"/>
        <v>1006</v>
      </c>
    </row>
    <row r="1194" spans="1:3">
      <c r="A1194" s="108">
        <v>1187</v>
      </c>
      <c r="B1194" s="108">
        <f t="shared" si="101"/>
        <v>368</v>
      </c>
      <c r="C1194" s="108">
        <f t="shared" si="102"/>
        <v>1006</v>
      </c>
    </row>
    <row r="1195" spans="1:3">
      <c r="A1195" s="108">
        <v>1188</v>
      </c>
      <c r="B1195" s="108">
        <f t="shared" si="101"/>
        <v>368</v>
      </c>
      <c r="C1195" s="108">
        <f t="shared" si="102"/>
        <v>1006</v>
      </c>
    </row>
    <row r="1196" spans="1:3">
      <c r="A1196" s="108">
        <v>1189</v>
      </c>
      <c r="B1196" s="108">
        <f t="shared" si="101"/>
        <v>368</v>
      </c>
      <c r="C1196" s="108">
        <f t="shared" si="102"/>
        <v>1006</v>
      </c>
    </row>
    <row r="1197" spans="1:3">
      <c r="A1197" s="108">
        <v>1190</v>
      </c>
      <c r="B1197" s="108">
        <f t="shared" si="101"/>
        <v>368</v>
      </c>
      <c r="C1197" s="108">
        <f t="shared" si="102"/>
        <v>1006</v>
      </c>
    </row>
    <row r="1198" spans="1:3">
      <c r="A1198" s="108">
        <v>1191</v>
      </c>
      <c r="B1198" s="108">
        <f t="shared" si="101"/>
        <v>368</v>
      </c>
      <c r="C1198" s="108">
        <f t="shared" si="102"/>
        <v>1006</v>
      </c>
    </row>
    <row r="1199" spans="1:3">
      <c r="A1199" s="108">
        <v>1192</v>
      </c>
      <c r="B1199" s="108">
        <f t="shared" ref="B1199:B1208" si="103">IF(B1198=F1199,A1199,B1198)</f>
        <v>368</v>
      </c>
      <c r="C1199" s="108">
        <f t="shared" ref="C1199:C1208" si="104" xml:space="preserve"> IF(C1198=F1199,A1199,C1198)</f>
        <v>1006</v>
      </c>
    </row>
    <row r="1200" spans="1:3">
      <c r="A1200" s="108">
        <v>1193</v>
      </c>
      <c r="B1200" s="108">
        <f t="shared" si="103"/>
        <v>368</v>
      </c>
      <c r="C1200" s="108">
        <f t="shared" si="104"/>
        <v>1006</v>
      </c>
    </row>
    <row r="1201" spans="1:14">
      <c r="A1201" s="108">
        <v>1194</v>
      </c>
      <c r="B1201" s="108">
        <f t="shared" si="103"/>
        <v>368</v>
      </c>
      <c r="C1201" s="108">
        <f t="shared" si="104"/>
        <v>1006</v>
      </c>
    </row>
    <row r="1202" spans="1:14">
      <c r="A1202" s="108">
        <v>1195</v>
      </c>
      <c r="B1202" s="108">
        <f t="shared" si="103"/>
        <v>368</v>
      </c>
      <c r="C1202" s="108">
        <f t="shared" si="104"/>
        <v>1006</v>
      </c>
    </row>
    <row r="1203" spans="1:14">
      <c r="A1203" s="108">
        <v>1196</v>
      </c>
      <c r="B1203" s="108">
        <f t="shared" si="103"/>
        <v>368</v>
      </c>
      <c r="C1203" s="108">
        <f t="shared" si="104"/>
        <v>1006</v>
      </c>
    </row>
    <row r="1204" spans="1:14">
      <c r="A1204" s="108">
        <v>1197</v>
      </c>
      <c r="B1204" s="108">
        <f t="shared" si="103"/>
        <v>368</v>
      </c>
      <c r="C1204" s="108">
        <f t="shared" si="104"/>
        <v>1006</v>
      </c>
    </row>
    <row r="1205" spans="1:14">
      <c r="A1205" s="108">
        <v>1198</v>
      </c>
      <c r="B1205" s="108">
        <f t="shared" si="103"/>
        <v>368</v>
      </c>
      <c r="C1205" s="108">
        <f t="shared" si="104"/>
        <v>1006</v>
      </c>
    </row>
    <row r="1206" spans="1:14">
      <c r="A1206" s="108">
        <v>1199</v>
      </c>
      <c r="B1206" s="108">
        <f t="shared" si="103"/>
        <v>368</v>
      </c>
      <c r="C1206" s="108">
        <f t="shared" si="104"/>
        <v>1006</v>
      </c>
    </row>
    <row r="1207" spans="1:14">
      <c r="A1207" s="108">
        <v>1200</v>
      </c>
      <c r="B1207" s="108">
        <f t="shared" si="103"/>
        <v>368</v>
      </c>
      <c r="C1207" s="108">
        <f t="shared" si="104"/>
        <v>1006</v>
      </c>
    </row>
    <row r="1208" spans="1:14">
      <c r="A1208" s="108">
        <v>1201</v>
      </c>
      <c r="B1208" s="108">
        <f t="shared" si="103"/>
        <v>368</v>
      </c>
      <c r="C1208" s="108">
        <f t="shared" si="104"/>
        <v>1006</v>
      </c>
      <c r="F1208" s="108" t="s">
        <v>3441</v>
      </c>
      <c r="G1208" s="108" t="s">
        <v>3441</v>
      </c>
      <c r="H1208" s="108" t="s">
        <v>3441</v>
      </c>
      <c r="I1208" s="108" t="s">
        <v>3441</v>
      </c>
      <c r="J1208" s="108" t="s">
        <v>3441</v>
      </c>
      <c r="K1208" s="108" t="s">
        <v>3441</v>
      </c>
      <c r="L1208" s="108" t="s">
        <v>3441</v>
      </c>
      <c r="M1208" s="108" t="s">
        <v>3441</v>
      </c>
      <c r="N1208" s="108" t="s">
        <v>3441</v>
      </c>
    </row>
    <row r="1209" spans="1:14">
      <c r="B1209" s="108">
        <f>IF(B1208=B5,0,B1208)</f>
        <v>368</v>
      </c>
      <c r="C1209" s="108">
        <f>IF(C1208=C5,0,C1208)</f>
        <v>1006</v>
      </c>
      <c r="K1209" s="109" t="s">
        <v>3442</v>
      </c>
    </row>
    <row r="1210" spans="1:14">
      <c r="B1210" s="109" t="s">
        <v>49</v>
      </c>
    </row>
    <row r="1211" spans="1:14">
      <c r="A1211" s="108" t="s">
        <v>3443</v>
      </c>
    </row>
    <row r="1212" spans="1:14">
      <c r="A1212" s="108" t="s">
        <v>3444</v>
      </c>
    </row>
    <row r="1213" spans="1:14">
      <c r="B1213" s="108" t="str">
        <f>IF(B1209=0,A1211,"")</f>
        <v/>
      </c>
    </row>
    <row r="1214" spans="1:14">
      <c r="B1214" s="108" t="str">
        <f>IF(B1209=0,A1212,"")</f>
        <v/>
      </c>
    </row>
    <row r="1215" spans="1:14">
      <c r="B1215" s="109" t="s">
        <v>11</v>
      </c>
    </row>
    <row r="1216" spans="1:14">
      <c r="B1216" s="108" t="str">
        <f>IF(C1209=0,A1211,"")</f>
        <v/>
      </c>
    </row>
    <row r="1217" spans="2:2">
      <c r="B1217" s="108" t="str">
        <f>IF(C1209=0,A1212,"")</f>
        <v/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1:AK301"/>
  <sheetViews>
    <sheetView topLeftCell="D101" zoomScale="110" zoomScaleNormal="110" workbookViewId="0">
      <selection activeCell="K125" sqref="K125"/>
    </sheetView>
  </sheetViews>
  <sheetFormatPr defaultRowHeight="15"/>
  <cols>
    <col min="1" max="3" width="9.140625" style="1"/>
    <col min="4" max="4" width="4.28515625" style="1" customWidth="1"/>
    <col min="5" max="5" width="1.28515625" style="1" customWidth="1"/>
    <col min="6" max="6" width="3" style="1" customWidth="1"/>
    <col min="7" max="7" width="4.140625" style="1" customWidth="1"/>
    <col min="8" max="8" width="25.42578125" style="1" customWidth="1"/>
    <col min="9" max="9" width="9.140625" style="1"/>
    <col min="10" max="10" width="10.42578125" style="1" customWidth="1"/>
    <col min="11" max="11" width="9.7109375" style="1" customWidth="1"/>
    <col min="12" max="14" width="9.140625" style="1"/>
    <col min="15" max="15" width="10.42578125" style="1" customWidth="1"/>
    <col min="16" max="16" width="9.7109375" style="1" customWidth="1"/>
    <col min="17" max="21" width="9.140625" style="1"/>
    <col min="22" max="22" width="12.7109375" style="108" customWidth="1"/>
    <col min="23" max="23" width="16.42578125" style="108" customWidth="1"/>
    <col min="24" max="24" width="9.140625" style="108"/>
    <col min="25" max="25" width="7.85546875" style="108" customWidth="1"/>
    <col min="26" max="26" width="9.140625" style="108"/>
    <col min="27" max="28" width="9.7109375" style="108" bestFit="1" customWidth="1"/>
    <col min="29" max="29" width="13.28515625" style="108" bestFit="1" customWidth="1"/>
    <col min="30" max="37" width="9.140625" style="108"/>
    <col min="38" max="16384" width="9.140625" style="1"/>
  </cols>
  <sheetData>
    <row r="1" spans="8:12">
      <c r="H1" s="93"/>
      <c r="K1" s="93"/>
      <c r="L1" s="93"/>
    </row>
    <row r="2" spans="8:12">
      <c r="H2" s="93"/>
      <c r="K2" s="93"/>
      <c r="L2" s="93"/>
    </row>
    <row r="3" spans="8:12">
      <c r="H3" s="93"/>
      <c r="K3" s="93"/>
      <c r="L3" s="93"/>
    </row>
    <row r="4" spans="8:12">
      <c r="H4" s="93"/>
      <c r="K4" s="93"/>
      <c r="L4" s="93"/>
    </row>
    <row r="5" spans="8:12">
      <c r="H5" s="93"/>
      <c r="K5" s="93"/>
      <c r="L5" s="93"/>
    </row>
    <row r="6" spans="8:12">
      <c r="H6" s="93"/>
      <c r="K6" s="93"/>
      <c r="L6" s="93"/>
    </row>
    <row r="7" spans="8:12">
      <c r="H7" s="93"/>
      <c r="K7" s="93"/>
      <c r="L7" s="93"/>
    </row>
    <row r="8" spans="8:12">
      <c r="H8" s="93"/>
      <c r="K8" s="93"/>
      <c r="L8" s="93"/>
    </row>
    <row r="9" spans="8:12">
      <c r="H9" s="93"/>
      <c r="K9" s="93"/>
      <c r="L9" s="93"/>
    </row>
    <row r="10" spans="8:12">
      <c r="H10" s="93"/>
      <c r="K10" s="93"/>
      <c r="L10" s="93"/>
    </row>
    <row r="11" spans="8:12">
      <c r="H11" s="93"/>
      <c r="K11" s="93"/>
      <c r="L11" s="93"/>
    </row>
    <row r="12" spans="8:12">
      <c r="H12" s="93"/>
      <c r="K12" s="93"/>
      <c r="L12" s="93"/>
    </row>
    <row r="13" spans="8:12">
      <c r="H13" s="93"/>
      <c r="K13" s="93"/>
      <c r="L13" s="93"/>
    </row>
    <row r="14" spans="8:12">
      <c r="H14" s="93"/>
      <c r="K14" s="93"/>
      <c r="L14" s="93"/>
    </row>
    <row r="15" spans="8:12">
      <c r="H15" s="93"/>
      <c r="K15" s="93"/>
      <c r="L15" s="93"/>
    </row>
    <row r="16" spans="8:12">
      <c r="H16" s="93"/>
      <c r="K16" s="93"/>
      <c r="L16" s="93"/>
    </row>
    <row r="17" spans="8:12">
      <c r="H17" s="93"/>
      <c r="K17" s="93"/>
      <c r="L17" s="93"/>
    </row>
    <row r="18" spans="8:12">
      <c r="H18" s="93"/>
      <c r="K18" s="93"/>
      <c r="L18" s="93"/>
    </row>
    <row r="19" spans="8:12">
      <c r="H19" s="93"/>
      <c r="K19" s="93"/>
      <c r="L19" s="93"/>
    </row>
    <row r="20" spans="8:12">
      <c r="H20" s="93"/>
      <c r="K20" s="93"/>
      <c r="L20" s="93"/>
    </row>
    <row r="21" spans="8:12">
      <c r="H21" s="93"/>
      <c r="K21" s="93"/>
      <c r="L21" s="93"/>
    </row>
    <row r="22" spans="8:12">
      <c r="H22" s="93"/>
      <c r="K22" s="93"/>
      <c r="L22" s="93"/>
    </row>
    <row r="23" spans="8:12">
      <c r="H23" s="93"/>
      <c r="K23" s="93"/>
      <c r="L23" s="93"/>
    </row>
    <row r="24" spans="8:12">
      <c r="H24" s="93"/>
      <c r="K24" s="93"/>
      <c r="L24" s="93"/>
    </row>
    <row r="25" spans="8:12">
      <c r="H25" s="93"/>
      <c r="K25" s="93"/>
      <c r="L25" s="93"/>
    </row>
    <row r="26" spans="8:12">
      <c r="H26" s="93"/>
      <c r="K26" s="93"/>
      <c r="L26" s="93"/>
    </row>
    <row r="27" spans="8:12">
      <c r="H27" s="93"/>
      <c r="K27" s="93"/>
      <c r="L27" s="93"/>
    </row>
    <row r="28" spans="8:12">
      <c r="H28" s="93"/>
      <c r="K28" s="93"/>
      <c r="L28" s="93"/>
    </row>
    <row r="29" spans="8:12">
      <c r="H29" s="93"/>
      <c r="K29" s="93"/>
      <c r="L29" s="93"/>
    </row>
    <row r="30" spans="8:12">
      <c r="H30" s="93"/>
      <c r="K30" s="93"/>
      <c r="L30" s="93"/>
    </row>
    <row r="31" spans="8:12">
      <c r="H31" s="93"/>
      <c r="K31" s="93"/>
      <c r="L31" s="93"/>
    </row>
    <row r="32" spans="8:12">
      <c r="H32" s="93"/>
      <c r="K32" s="93"/>
      <c r="L32" s="93"/>
    </row>
    <row r="33" spans="8:12">
      <c r="H33" s="93"/>
      <c r="K33" s="93"/>
      <c r="L33" s="93"/>
    </row>
    <row r="34" spans="8:12">
      <c r="H34" s="93"/>
      <c r="K34" s="93"/>
      <c r="L34" s="93"/>
    </row>
    <row r="35" spans="8:12">
      <c r="H35" s="93"/>
      <c r="K35" s="93"/>
      <c r="L35" s="93"/>
    </row>
    <row r="36" spans="8:12">
      <c r="H36" s="93"/>
      <c r="K36" s="93"/>
      <c r="L36" s="93"/>
    </row>
    <row r="37" spans="8:12">
      <c r="H37" s="93"/>
      <c r="K37" s="93"/>
      <c r="L37" s="93"/>
    </row>
    <row r="38" spans="8:12">
      <c r="H38" s="93"/>
      <c r="K38" s="93"/>
      <c r="L38" s="93"/>
    </row>
    <row r="39" spans="8:12">
      <c r="H39" s="93"/>
      <c r="K39" s="93"/>
      <c r="L39" s="93"/>
    </row>
    <row r="40" spans="8:12">
      <c r="H40" s="93"/>
      <c r="K40" s="93"/>
      <c r="L40" s="93"/>
    </row>
    <row r="41" spans="8:12">
      <c r="H41" s="93"/>
      <c r="K41" s="93"/>
      <c r="L41" s="93"/>
    </row>
    <row r="42" spans="8:12">
      <c r="H42" s="93"/>
      <c r="K42" s="93"/>
      <c r="L42" s="93"/>
    </row>
    <row r="43" spans="8:12">
      <c r="H43" s="93"/>
      <c r="K43" s="93"/>
      <c r="L43" s="93"/>
    </row>
    <row r="44" spans="8:12">
      <c r="H44" s="93"/>
      <c r="K44" s="93"/>
      <c r="L44" s="93"/>
    </row>
    <row r="45" spans="8:12">
      <c r="H45" s="93"/>
      <c r="K45" s="93"/>
      <c r="L45" s="93"/>
    </row>
    <row r="46" spans="8:12">
      <c r="H46" s="93"/>
      <c r="K46" s="93"/>
      <c r="L46" s="93"/>
    </row>
    <row r="47" spans="8:12">
      <c r="H47" s="93"/>
      <c r="K47" s="93"/>
      <c r="L47" s="93"/>
    </row>
    <row r="48" spans="8:12">
      <c r="H48" s="93"/>
      <c r="K48" s="93"/>
      <c r="L48" s="93"/>
    </row>
    <row r="49" spans="8:12">
      <c r="H49" s="93"/>
      <c r="K49" s="93"/>
      <c r="L49" s="93"/>
    </row>
    <row r="50" spans="8:12">
      <c r="H50" s="93"/>
      <c r="K50" s="93"/>
      <c r="L50" s="93"/>
    </row>
    <row r="51" spans="8:12">
      <c r="H51" s="93"/>
      <c r="K51" s="93"/>
      <c r="L51" s="93"/>
    </row>
    <row r="52" spans="8:12">
      <c r="H52" s="93"/>
      <c r="K52" s="93"/>
      <c r="L52" s="93"/>
    </row>
    <row r="53" spans="8:12">
      <c r="H53" s="93"/>
      <c r="K53" s="93"/>
      <c r="L53" s="93"/>
    </row>
    <row r="54" spans="8:12">
      <c r="H54" s="93"/>
      <c r="K54" s="93"/>
      <c r="L54" s="93"/>
    </row>
    <row r="55" spans="8:12">
      <c r="H55" s="93"/>
      <c r="K55" s="93"/>
      <c r="L55" s="93"/>
    </row>
    <row r="56" spans="8:12">
      <c r="H56" s="93"/>
      <c r="K56" s="93"/>
      <c r="L56" s="93"/>
    </row>
    <row r="57" spans="8:12">
      <c r="H57" s="93"/>
      <c r="K57" s="93"/>
      <c r="L57" s="93"/>
    </row>
    <row r="58" spans="8:12">
      <c r="H58" s="93"/>
      <c r="K58" s="93"/>
      <c r="L58" s="93"/>
    </row>
    <row r="59" spans="8:12">
      <c r="H59" s="93"/>
      <c r="K59" s="93"/>
      <c r="L59" s="93"/>
    </row>
    <row r="60" spans="8:12">
      <c r="H60" s="93"/>
      <c r="K60" s="93"/>
      <c r="L60" s="93"/>
    </row>
    <row r="61" spans="8:12">
      <c r="H61" s="93"/>
      <c r="K61" s="93"/>
      <c r="L61" s="93"/>
    </row>
    <row r="62" spans="8:12">
      <c r="H62" s="93"/>
      <c r="K62" s="93"/>
      <c r="L62" s="93"/>
    </row>
    <row r="63" spans="8:12">
      <c r="H63" s="93"/>
      <c r="K63" s="93"/>
      <c r="L63" s="93"/>
    </row>
    <row r="64" spans="8:12">
      <c r="H64" s="93"/>
      <c r="K64" s="93"/>
      <c r="L64" s="93"/>
    </row>
    <row r="65" spans="8:12">
      <c r="H65" s="93"/>
      <c r="K65" s="93"/>
      <c r="L65" s="93"/>
    </row>
    <row r="66" spans="8:12">
      <c r="H66" s="93"/>
      <c r="K66" s="93"/>
      <c r="L66" s="93"/>
    </row>
    <row r="67" spans="8:12">
      <c r="H67" s="93"/>
      <c r="K67" s="93"/>
      <c r="L67" s="93"/>
    </row>
    <row r="68" spans="8:12">
      <c r="H68" s="93"/>
      <c r="K68" s="93"/>
      <c r="L68" s="93"/>
    </row>
    <row r="69" spans="8:12">
      <c r="H69" s="93"/>
      <c r="K69" s="93"/>
      <c r="L69" s="93"/>
    </row>
    <row r="70" spans="8:12">
      <c r="H70" s="93"/>
      <c r="K70" s="93"/>
      <c r="L70" s="93"/>
    </row>
    <row r="71" spans="8:12">
      <c r="H71" s="93"/>
      <c r="K71" s="93"/>
      <c r="L71" s="93"/>
    </row>
    <row r="72" spans="8:12">
      <c r="H72" s="93"/>
      <c r="K72" s="93"/>
      <c r="L72" s="93"/>
    </row>
    <row r="73" spans="8:12">
      <c r="H73" s="93"/>
      <c r="K73" s="93"/>
      <c r="L73" s="93"/>
    </row>
    <row r="74" spans="8:12">
      <c r="H74" s="93"/>
      <c r="K74" s="93"/>
      <c r="L74" s="93"/>
    </row>
    <row r="75" spans="8:12">
      <c r="H75" s="93"/>
      <c r="K75" s="93"/>
      <c r="L75" s="93"/>
    </row>
    <row r="76" spans="8:12">
      <c r="H76" s="93"/>
      <c r="K76" s="93"/>
      <c r="L76" s="93"/>
    </row>
    <row r="77" spans="8:12">
      <c r="H77" s="93"/>
      <c r="K77" s="93"/>
      <c r="L77" s="93"/>
    </row>
    <row r="78" spans="8:12">
      <c r="H78" s="93"/>
      <c r="K78" s="93"/>
      <c r="L78" s="93"/>
    </row>
    <row r="79" spans="8:12">
      <c r="H79" s="93"/>
      <c r="K79" s="93"/>
      <c r="L79" s="93"/>
    </row>
    <row r="80" spans="8:12">
      <c r="H80" s="93"/>
      <c r="K80" s="93"/>
      <c r="L80" s="93"/>
    </row>
    <row r="81" spans="3:20">
      <c r="H81" s="93"/>
      <c r="K81" s="93"/>
      <c r="L81" s="93"/>
    </row>
    <row r="82" spans="3:20">
      <c r="H82" s="93"/>
      <c r="K82" s="93"/>
      <c r="L82" s="93"/>
    </row>
    <row r="83" spans="3:20">
      <c r="H83" s="93"/>
      <c r="K83" s="93"/>
      <c r="L83" s="93"/>
    </row>
    <row r="84" spans="3:20">
      <c r="H84" s="93"/>
      <c r="K84" s="93"/>
      <c r="L84" s="93"/>
    </row>
    <row r="85" spans="3:20">
      <c r="H85" s="93"/>
      <c r="K85" s="93"/>
      <c r="L85" s="93"/>
    </row>
    <row r="86" spans="3:20">
      <c r="H86" s="93"/>
      <c r="K86" s="93"/>
      <c r="L86" s="93"/>
    </row>
    <row r="87" spans="3:20">
      <c r="H87" s="93"/>
      <c r="K87" s="93"/>
      <c r="L87" s="93"/>
    </row>
    <row r="88" spans="3:20">
      <c r="H88" s="93"/>
      <c r="K88" s="93"/>
      <c r="L88" s="93"/>
    </row>
    <row r="89" spans="3:20">
      <c r="H89" s="93"/>
      <c r="K89" s="93"/>
      <c r="L89" s="93"/>
    </row>
    <row r="90" spans="3:20">
      <c r="H90" s="93"/>
      <c r="K90" s="93"/>
      <c r="L90" s="93"/>
    </row>
    <row r="91" spans="3:20">
      <c r="H91" s="93"/>
      <c r="K91" s="93"/>
      <c r="L91" s="93"/>
    </row>
    <row r="92" spans="3:20">
      <c r="H92" s="93"/>
      <c r="K92" s="93"/>
      <c r="L92" s="93"/>
    </row>
    <row r="93" spans="3:20">
      <c r="H93" s="93"/>
      <c r="K93" s="93"/>
      <c r="L93" s="93"/>
    </row>
    <row r="94" spans="3:20">
      <c r="H94" s="93"/>
      <c r="K94" s="93"/>
      <c r="L94" s="93"/>
    </row>
    <row r="95" spans="3:20">
      <c r="C95" s="35"/>
      <c r="D95" s="35"/>
      <c r="E95" s="35"/>
      <c r="F95" s="35"/>
      <c r="G95" s="35"/>
      <c r="H95" s="35"/>
      <c r="I95" s="35"/>
      <c r="J95" s="36"/>
      <c r="K95" s="35"/>
      <c r="L95" s="35"/>
      <c r="M95" s="35"/>
      <c r="N95" s="35"/>
      <c r="O95" s="35"/>
      <c r="P95" s="35"/>
      <c r="Q95" s="35"/>
      <c r="R95" s="35"/>
      <c r="S95" s="35"/>
      <c r="T95" s="35"/>
    </row>
    <row r="96" spans="3:20">
      <c r="C96" s="35"/>
      <c r="D96" s="35"/>
      <c r="E96" s="35"/>
      <c r="F96" s="35"/>
      <c r="G96" s="37" t="s">
        <v>3494</v>
      </c>
      <c r="H96" s="37"/>
      <c r="I96" s="38" t="s">
        <v>3498</v>
      </c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</row>
    <row r="97" spans="3:24">
      <c r="C97" s="35"/>
      <c r="D97" s="35"/>
      <c r="E97" s="35"/>
      <c r="F97" s="35"/>
      <c r="G97" s="39" t="s">
        <v>3495</v>
      </c>
      <c r="H97" s="36"/>
      <c r="I97" s="45">
        <v>4</v>
      </c>
      <c r="J97" s="40" t="str">
        <f>IF(I97=1,G97,"")</f>
        <v/>
      </c>
      <c r="K97" s="35"/>
      <c r="L97" s="41" t="str">
        <f>W113</f>
        <v>Μην γράφεται εδώ!</v>
      </c>
      <c r="M97" s="35"/>
      <c r="N97" s="35"/>
      <c r="O97" s="35"/>
      <c r="P97" s="35"/>
      <c r="Q97" s="35"/>
      <c r="R97" s="35"/>
      <c r="S97" s="35"/>
      <c r="T97" s="41">
        <f>I97</f>
        <v>4</v>
      </c>
      <c r="V97" s="109" t="s">
        <v>3506</v>
      </c>
    </row>
    <row r="98" spans="3:24">
      <c r="C98" s="35"/>
      <c r="D98" s="35"/>
      <c r="E98" s="35"/>
      <c r="F98" s="35"/>
      <c r="G98" s="39" t="s">
        <v>3496</v>
      </c>
      <c r="H98" s="36"/>
      <c r="I98" s="40" t="s">
        <v>3499</v>
      </c>
      <c r="J98" s="40" t="str">
        <f>IF(I97=2,G98,"")</f>
        <v/>
      </c>
      <c r="K98" s="35"/>
      <c r="L98" s="35"/>
      <c r="M98" s="35"/>
      <c r="N98" s="35"/>
      <c r="O98" s="35"/>
      <c r="P98" s="35"/>
      <c r="Q98" s="35"/>
      <c r="R98" s="35"/>
      <c r="S98" s="35"/>
      <c r="T98" s="35"/>
      <c r="W98" s="119">
        <f ca="1">NOW()</f>
        <v>43870.486429050929</v>
      </c>
    </row>
    <row r="99" spans="3:24">
      <c r="C99" s="35"/>
      <c r="D99" s="35"/>
      <c r="E99" s="35"/>
      <c r="F99" s="35"/>
      <c r="G99" s="39" t="s">
        <v>3497</v>
      </c>
      <c r="H99" s="36"/>
      <c r="I99" s="35"/>
      <c r="J99" s="40" t="str">
        <f>IF(I97=4,G99,"")</f>
        <v>Οθόνη προγραμματισμού (4)</v>
      </c>
      <c r="K99" s="35"/>
      <c r="L99" s="35"/>
      <c r="M99" s="35"/>
      <c r="N99" s="35"/>
      <c r="O99" s="35"/>
      <c r="P99" s="35"/>
      <c r="Q99" s="35"/>
      <c r="R99" s="35"/>
      <c r="S99" s="35"/>
      <c r="T99" s="35"/>
      <c r="V99" s="108" t="s">
        <v>3502</v>
      </c>
      <c r="W99" s="108">
        <f ca="1">YEAR(W98)</f>
        <v>2020</v>
      </c>
    </row>
    <row r="100" spans="3:24">
      <c r="C100" s="35"/>
      <c r="D100" s="35"/>
      <c r="E100" s="35"/>
      <c r="F100" s="35"/>
      <c r="G100" s="42" t="s">
        <v>3500</v>
      </c>
      <c r="H100" s="39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V100" s="108" t="s">
        <v>3503</v>
      </c>
      <c r="W100" s="108">
        <f ca="1">MONTH(W98)</f>
        <v>2</v>
      </c>
    </row>
    <row r="101" spans="3:24">
      <c r="C101" s="35"/>
      <c r="D101" s="35"/>
      <c r="E101" s="35"/>
      <c r="F101" s="35"/>
      <c r="G101" s="42" t="s">
        <v>3501</v>
      </c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V101" s="108" t="s">
        <v>3504</v>
      </c>
      <c r="W101" s="108">
        <f ca="1">DAY(W98)</f>
        <v>9</v>
      </c>
    </row>
    <row r="102" spans="3:24"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106">
        <v>1215336</v>
      </c>
      <c r="T102" s="35"/>
      <c r="V102" s="108" t="s">
        <v>3505</v>
      </c>
      <c r="W102" s="108">
        <f ca="1">HOUR(W98)</f>
        <v>11</v>
      </c>
    </row>
    <row r="103" spans="3:24"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V103" s="108" t="s">
        <v>14</v>
      </c>
      <c r="W103" s="108">
        <f ca="1">MINUTE(W98)</f>
        <v>40</v>
      </c>
    </row>
    <row r="104" spans="3:24">
      <c r="C104" s="35"/>
      <c r="D104" s="35"/>
      <c r="E104" s="35"/>
      <c r="F104" s="35"/>
      <c r="G104" s="35"/>
      <c r="H104" s="35"/>
      <c r="I104" s="35"/>
      <c r="J104" s="67" t="s">
        <v>3849</v>
      </c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V104" s="108" t="s">
        <v>3462</v>
      </c>
      <c r="W104" s="108">
        <f ca="1">SECOND(W98)</f>
        <v>27</v>
      </c>
    </row>
    <row r="105" spans="3:24">
      <c r="C105" s="35"/>
      <c r="D105" s="35"/>
      <c r="E105" s="35"/>
      <c r="F105" s="35"/>
      <c r="G105" s="35"/>
      <c r="H105" s="35"/>
      <c r="I105" s="35"/>
      <c r="J105" s="92" t="str">
        <f ca="1">Φύλλο1!AR58</f>
        <v xml:space="preserve">Το πρόγραμμα λειτούργει τα έτη 2000 έως και το 2040. </v>
      </c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V105" s="109" t="s">
        <v>3507</v>
      </c>
    </row>
    <row r="106" spans="3:24">
      <c r="C106" s="35"/>
      <c r="D106" s="35"/>
      <c r="E106" s="35"/>
      <c r="F106" s="35"/>
      <c r="G106" s="35"/>
      <c r="H106" s="35"/>
      <c r="I106" s="35"/>
      <c r="J106" s="92" t="str">
        <f ca="1">Φύλλο1!AR59</f>
        <v>Στα Γεωγραφικά μήκη από 19  έως και 30 μοίρες Ανατολικά.</v>
      </c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V106" s="109" t="s">
        <v>1</v>
      </c>
      <c r="W106" s="108">
        <f>T97</f>
        <v>4</v>
      </c>
    </row>
    <row r="107" spans="3:24">
      <c r="C107" s="35"/>
      <c r="D107" s="35"/>
      <c r="E107" s="35"/>
      <c r="F107" s="70" t="s">
        <v>3721</v>
      </c>
      <c r="G107" s="35"/>
      <c r="H107" s="35"/>
      <c r="I107" s="71">
        <f>Φύλλο1!AS61</f>
        <v>368</v>
      </c>
      <c r="J107" s="92" t="str">
        <f ca="1">Φύλλο1!AR60</f>
        <v>Και στα Γεωγραφικά πλάτη, από 0,001 έως 90 μοίρες βόρεια του Γήινου Ισημερινού.</v>
      </c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V107" s="108" t="s">
        <v>3508</v>
      </c>
      <c r="W107" s="108" t="b">
        <f>ISNUMBER(W106)</f>
        <v>1</v>
      </c>
    </row>
    <row r="108" spans="3:24">
      <c r="C108" s="35"/>
      <c r="D108" s="35"/>
      <c r="E108" s="43"/>
      <c r="F108" s="29" t="str">
        <f>Φύλλο1!AP62</f>
        <v/>
      </c>
      <c r="G108" s="30"/>
      <c r="H108" s="30"/>
      <c r="I108" s="30"/>
      <c r="J108" s="30"/>
      <c r="K108" s="30"/>
      <c r="L108" s="31" t="str">
        <f>Φύλλο1!AV62</f>
        <v/>
      </c>
      <c r="M108" s="30"/>
      <c r="N108" s="30"/>
      <c r="O108" s="30"/>
      <c r="P108" s="30"/>
      <c r="Q108" s="32"/>
      <c r="R108" s="43"/>
      <c r="S108" s="35"/>
      <c r="T108" s="35"/>
      <c r="V108" s="108" t="b">
        <v>0</v>
      </c>
      <c r="X108" s="108">
        <f>IF(W107=V108,1,0)</f>
        <v>0</v>
      </c>
    </row>
    <row r="109" spans="3:24">
      <c r="C109" s="35"/>
      <c r="D109" s="35"/>
      <c r="E109" s="43"/>
      <c r="F109" s="33" t="str">
        <f>Φύλλο1!AP63</f>
        <v/>
      </c>
      <c r="G109" s="24"/>
      <c r="H109" s="24"/>
      <c r="I109" s="24"/>
      <c r="J109" s="24"/>
      <c r="K109" s="24"/>
      <c r="L109" s="18" t="str">
        <f>Φύλλο1!AV63</f>
        <v/>
      </c>
      <c r="M109" s="24"/>
      <c r="N109" s="24"/>
      <c r="O109" s="24"/>
      <c r="P109" s="24"/>
      <c r="Q109" s="34"/>
      <c r="R109" s="43"/>
      <c r="S109" s="35"/>
      <c r="T109" s="35"/>
      <c r="V109" s="108" t="s">
        <v>3509</v>
      </c>
      <c r="W109" s="108">
        <f>IF(W107=V108,1,W106)</f>
        <v>4</v>
      </c>
      <c r="X109" s="108">
        <f>IF(W109=3,1,0)</f>
        <v>0</v>
      </c>
    </row>
    <row r="110" spans="3:24">
      <c r="C110" s="35"/>
      <c r="D110" s="35"/>
      <c r="E110" s="43"/>
      <c r="F110" s="33"/>
      <c r="G110" s="24"/>
      <c r="H110" s="24"/>
      <c r="I110" s="24"/>
      <c r="J110" s="24"/>
      <c r="K110" s="24"/>
      <c r="L110" s="18"/>
      <c r="M110" s="24"/>
      <c r="N110" s="24"/>
      <c r="O110" s="24"/>
      <c r="P110" s="24"/>
      <c r="Q110" s="34"/>
      <c r="R110" s="43"/>
      <c r="S110" s="35"/>
      <c r="T110" s="35"/>
      <c r="V110" s="108" t="s">
        <v>3510</v>
      </c>
      <c r="W110" s="108">
        <f>IF(W109=3,1,W109)</f>
        <v>4</v>
      </c>
      <c r="X110" s="108">
        <f>IF(W110&gt;4,1,0)</f>
        <v>0</v>
      </c>
    </row>
    <row r="111" spans="3:24">
      <c r="C111" s="35"/>
      <c r="D111" s="35"/>
      <c r="E111" s="43"/>
      <c r="F111" s="21" t="s">
        <v>3719</v>
      </c>
      <c r="G111" s="24"/>
      <c r="H111" s="24"/>
      <c r="I111" s="18" t="s">
        <v>3460</v>
      </c>
      <c r="J111" s="15"/>
      <c r="K111" s="15"/>
      <c r="L111" s="15"/>
      <c r="M111" s="15"/>
      <c r="N111" s="24"/>
      <c r="O111" s="24"/>
      <c r="P111" s="24"/>
      <c r="Q111" s="34"/>
      <c r="R111" s="43"/>
      <c r="S111" s="35"/>
      <c r="T111" s="35"/>
      <c r="W111" s="108">
        <f>IF(W110&gt;4,1,W110)</f>
        <v>4</v>
      </c>
      <c r="X111" s="108">
        <f>IF(W111&lt;1,1,0)</f>
        <v>0</v>
      </c>
    </row>
    <row r="112" spans="3:24">
      <c r="C112" s="35"/>
      <c r="D112" s="35"/>
      <c r="E112" s="35"/>
      <c r="F112" s="91" t="str">
        <f>IF(T97=1,G100,G101)</f>
        <v>Αδρανής Οθόνη</v>
      </c>
      <c r="G112" s="15"/>
      <c r="H112" s="15"/>
      <c r="I112" s="48" t="s">
        <v>3461</v>
      </c>
      <c r="J112" s="15"/>
      <c r="K112" s="15"/>
      <c r="L112" s="47">
        <v>0</v>
      </c>
      <c r="M112" s="60" t="str">
        <f>Φύλλο1!AW65</f>
        <v>Ώρα Ελλάδος</v>
      </c>
      <c r="N112" s="15"/>
      <c r="O112" s="15"/>
      <c r="P112" s="15"/>
      <c r="Q112" s="22"/>
      <c r="R112" s="35"/>
      <c r="S112" s="35"/>
      <c r="T112" s="35"/>
      <c r="V112" s="109" t="s">
        <v>3511</v>
      </c>
      <c r="W112" s="108">
        <f>IF(W111&lt;1,1,W111)</f>
        <v>4</v>
      </c>
      <c r="X112" s="108">
        <f>X108+X109+X110+X111</f>
        <v>0</v>
      </c>
    </row>
    <row r="113" spans="3:36">
      <c r="C113" s="35"/>
      <c r="D113" s="35"/>
      <c r="E113" s="35"/>
      <c r="F113" s="23"/>
      <c r="G113" s="17" t="s">
        <v>3453</v>
      </c>
      <c r="H113" s="12"/>
      <c r="I113" s="24"/>
      <c r="J113" s="14" t="s">
        <v>3512</v>
      </c>
      <c r="K113" s="24"/>
      <c r="L113" s="47">
        <v>37.747</v>
      </c>
      <c r="M113" s="16" t="str">
        <f>Φύλλο1!AW66</f>
        <v/>
      </c>
      <c r="N113" s="15"/>
      <c r="O113" s="16"/>
      <c r="P113" s="15"/>
      <c r="Q113" s="22"/>
      <c r="R113" s="35"/>
      <c r="S113" s="35"/>
      <c r="T113" s="35"/>
      <c r="W113" s="108" t="str">
        <f>IF(X112=0,V110,V109)</f>
        <v>Μην γράφεται εδώ!</v>
      </c>
    </row>
    <row r="114" spans="3:36">
      <c r="C114" s="35"/>
      <c r="D114" s="35"/>
      <c r="E114" s="35"/>
      <c r="F114" s="23"/>
      <c r="G114" s="17" t="s">
        <v>3454</v>
      </c>
      <c r="H114" s="12"/>
      <c r="I114" s="13"/>
      <c r="J114" s="14" t="s">
        <v>3530</v>
      </c>
      <c r="K114" s="15"/>
      <c r="L114" s="47">
        <v>23.907699999999998</v>
      </c>
      <c r="M114" s="16" t="str">
        <f>Φύλλο1!AW67</f>
        <v/>
      </c>
      <c r="N114" s="15"/>
      <c r="O114" s="16"/>
      <c r="P114" s="16"/>
      <c r="Q114" s="22"/>
      <c r="R114" s="35"/>
      <c r="S114" s="35"/>
      <c r="T114" s="35"/>
    </row>
    <row r="115" spans="3:36">
      <c r="C115" s="35"/>
      <c r="D115" s="35"/>
      <c r="E115" s="35"/>
      <c r="F115" s="23"/>
      <c r="G115" s="17" t="s">
        <v>3455</v>
      </c>
      <c r="H115" s="12"/>
      <c r="I115" s="14" t="s">
        <v>200</v>
      </c>
      <c r="J115" s="15"/>
      <c r="K115" s="15"/>
      <c r="L115" s="15"/>
      <c r="M115" s="15"/>
      <c r="N115" s="15"/>
      <c r="O115" s="18" t="str">
        <f>Φύλλο1!AY68</f>
        <v/>
      </c>
      <c r="P115" s="16"/>
      <c r="Q115" s="22"/>
      <c r="R115" s="35"/>
      <c r="S115" s="35"/>
      <c r="T115" s="35"/>
    </row>
    <row r="116" spans="3:36">
      <c r="C116" s="35"/>
      <c r="D116" s="35"/>
      <c r="E116" s="35"/>
      <c r="F116" s="23"/>
      <c r="G116" s="17"/>
      <c r="H116" s="12"/>
      <c r="I116" s="13" t="str">
        <f>Φύλλο1!AS68</f>
        <v/>
      </c>
      <c r="J116" s="15"/>
      <c r="K116" s="15"/>
      <c r="L116" s="15"/>
      <c r="M116" s="15"/>
      <c r="N116" s="15"/>
      <c r="O116" s="16" t="str">
        <f>Φύλλο1!AY69</f>
        <v/>
      </c>
      <c r="P116" s="16" t="str">
        <f>Φύλλο1!AZ69</f>
        <v/>
      </c>
      <c r="Q116" s="22"/>
      <c r="R116" s="35"/>
      <c r="S116" s="35"/>
      <c r="T116" s="35"/>
      <c r="Z116" s="108" t="s">
        <v>3525</v>
      </c>
      <c r="AA116" s="108" t="s">
        <v>3527</v>
      </c>
      <c r="AB116" s="108" t="s">
        <v>3527</v>
      </c>
    </row>
    <row r="117" spans="3:36">
      <c r="C117" s="35"/>
      <c r="D117" s="35"/>
      <c r="E117" s="35"/>
      <c r="F117" s="23"/>
      <c r="G117" s="17" t="s">
        <v>3848</v>
      </c>
      <c r="H117" s="12"/>
      <c r="I117" s="15"/>
      <c r="J117" s="15"/>
      <c r="K117" s="15"/>
      <c r="L117" s="14" t="s">
        <v>301</v>
      </c>
      <c r="M117" s="14"/>
      <c r="N117" s="14"/>
      <c r="O117" s="16" t="str">
        <f>Φύλλο1!AY70</f>
        <v/>
      </c>
      <c r="P117" s="16" t="str">
        <f>Φύλλο1!AZ70</f>
        <v/>
      </c>
      <c r="Q117" s="22"/>
      <c r="R117" s="35"/>
      <c r="S117" s="35"/>
      <c r="T117" s="35"/>
      <c r="W117" s="108" t="s">
        <v>1</v>
      </c>
      <c r="X117" s="108">
        <f>W112</f>
        <v>4</v>
      </c>
      <c r="Y117" s="108" t="s">
        <v>3524</v>
      </c>
      <c r="Z117" s="108" t="s">
        <v>3526</v>
      </c>
      <c r="AA117" s="108" t="s">
        <v>3528</v>
      </c>
      <c r="AB117" s="108" t="s">
        <v>3529</v>
      </c>
      <c r="AC117" s="108" t="s">
        <v>3502</v>
      </c>
      <c r="AD117" s="108" t="s">
        <v>3503</v>
      </c>
      <c r="AE117" s="108" t="s">
        <v>3532</v>
      </c>
      <c r="AF117" s="108" t="s">
        <v>3505</v>
      </c>
      <c r="AG117" s="108" t="s">
        <v>14</v>
      </c>
      <c r="AH117" s="108" t="s">
        <v>3462</v>
      </c>
      <c r="AI117" s="108" t="s">
        <v>3533</v>
      </c>
      <c r="AJ117" s="108" t="s">
        <v>8</v>
      </c>
    </row>
    <row r="118" spans="3:36">
      <c r="C118" s="35"/>
      <c r="D118" s="35"/>
      <c r="E118" s="35"/>
      <c r="F118" s="23"/>
      <c r="G118" s="14" t="s">
        <v>3451</v>
      </c>
      <c r="H118" s="15"/>
      <c r="I118" s="16"/>
      <c r="J118" s="15"/>
      <c r="K118" s="15"/>
      <c r="L118" s="13">
        <f ca="1">Φύλλο1!AV70</f>
        <v>10</v>
      </c>
      <c r="M118" s="13">
        <f ca="1">Φύλλο1!AW70</f>
        <v>9</v>
      </c>
      <c r="N118" s="94">
        <f ca="1">Φύλλο1!AX70</f>
        <v>26.401361822438787</v>
      </c>
      <c r="O118" s="16" t="str">
        <f>Φύλλο1!AY71</f>
        <v/>
      </c>
      <c r="P118" s="16" t="str">
        <f>Φύλλο1!AZ71</f>
        <v/>
      </c>
      <c r="Q118" s="22"/>
      <c r="R118" s="44"/>
      <c r="S118" s="35"/>
      <c r="T118" s="35"/>
      <c r="Y118" s="108">
        <v>0</v>
      </c>
      <c r="Z118" s="108">
        <v>0</v>
      </c>
      <c r="AA118" s="108">
        <v>0</v>
      </c>
      <c r="AB118" s="108">
        <v>0</v>
      </c>
      <c r="AC118" s="108">
        <v>0</v>
      </c>
      <c r="AD118" s="108">
        <v>0</v>
      </c>
      <c r="AE118" s="108">
        <v>0</v>
      </c>
      <c r="AF118" s="108">
        <v>0</v>
      </c>
      <c r="AG118" s="108">
        <v>0</v>
      </c>
      <c r="AH118" s="108">
        <v>0</v>
      </c>
      <c r="AI118" s="108">
        <v>0</v>
      </c>
      <c r="AJ118" s="108">
        <v>0</v>
      </c>
    </row>
    <row r="119" spans="3:36">
      <c r="C119" s="35"/>
      <c r="D119" s="35"/>
      <c r="E119" s="35"/>
      <c r="F119" s="23"/>
      <c r="G119" s="14" t="s">
        <v>3452</v>
      </c>
      <c r="H119" s="15"/>
      <c r="I119" s="16"/>
      <c r="J119" s="15"/>
      <c r="K119" s="15"/>
      <c r="L119" s="14" t="s">
        <v>3450</v>
      </c>
      <c r="M119" s="14"/>
      <c r="N119" s="14"/>
      <c r="O119" s="18" t="str">
        <f>Φύλλο1!AY72</f>
        <v/>
      </c>
      <c r="P119" s="16"/>
      <c r="Q119" s="22"/>
      <c r="R119" s="35"/>
      <c r="S119" s="35"/>
      <c r="T119" s="35"/>
      <c r="W119" s="108" t="s">
        <v>3521</v>
      </c>
      <c r="Y119" s="108">
        <v>1</v>
      </c>
      <c r="Z119" s="108">
        <f>L112</f>
        <v>0</v>
      </c>
      <c r="AA119" s="108">
        <f>L113</f>
        <v>37.747</v>
      </c>
      <c r="AB119" s="108">
        <f>L114</f>
        <v>23.907699999999998</v>
      </c>
      <c r="AC119" s="108">
        <f ca="1">W99</f>
        <v>2020</v>
      </c>
      <c r="AD119" s="108">
        <f ca="1">W100</f>
        <v>2</v>
      </c>
      <c r="AE119" s="108">
        <f ca="1">W101</f>
        <v>9</v>
      </c>
      <c r="AF119" s="108">
        <f ca="1">W102</f>
        <v>11</v>
      </c>
      <c r="AG119" s="108">
        <f ca="1">W103</f>
        <v>40</v>
      </c>
      <c r="AH119" s="108">
        <f ca="1">W104</f>
        <v>27</v>
      </c>
      <c r="AI119" s="108">
        <f>H120</f>
        <v>0</v>
      </c>
      <c r="AJ119" s="108">
        <f>K124</f>
        <v>0</v>
      </c>
    </row>
    <row r="120" spans="3:36" ht="18.75">
      <c r="C120" s="35"/>
      <c r="D120" s="35"/>
      <c r="E120" s="35"/>
      <c r="F120" s="23"/>
      <c r="G120" s="15"/>
      <c r="H120" s="47"/>
      <c r="I120" s="14" t="s">
        <v>3456</v>
      </c>
      <c r="J120" s="62" t="str">
        <f>Φύλλο1!AT72</f>
        <v/>
      </c>
      <c r="K120" s="15"/>
      <c r="L120" s="13">
        <f ca="1">Φύλλο1!AV72</f>
        <v>11</v>
      </c>
      <c r="M120" s="13">
        <f ca="1">Φύλλο1!AW72</f>
        <v>52</v>
      </c>
      <c r="N120" s="95">
        <f ca="1">Φύλλο1!AX72</f>
        <v>8.0658646964518255</v>
      </c>
      <c r="O120" s="16" t="str">
        <f>Φύλλο1!AY73</f>
        <v/>
      </c>
      <c r="P120" s="16" t="str">
        <f>Φύλλο1!AZ73</f>
        <v/>
      </c>
      <c r="Q120" s="22"/>
      <c r="R120" s="35"/>
      <c r="S120" s="35"/>
      <c r="T120" s="35"/>
      <c r="W120" s="108" t="s">
        <v>3522</v>
      </c>
      <c r="Y120" s="108">
        <v>2</v>
      </c>
      <c r="Z120" s="108">
        <v>0</v>
      </c>
      <c r="AA120" s="108">
        <v>0</v>
      </c>
      <c r="AB120" s="108">
        <v>0</v>
      </c>
      <c r="AC120" s="108">
        <v>0</v>
      </c>
      <c r="AD120" s="108">
        <v>0</v>
      </c>
      <c r="AE120" s="108">
        <v>0</v>
      </c>
      <c r="AF120" s="108">
        <v>0</v>
      </c>
      <c r="AG120" s="108">
        <v>0</v>
      </c>
      <c r="AH120" s="108">
        <v>0</v>
      </c>
      <c r="AI120" s="108">
        <v>0</v>
      </c>
      <c r="AJ120" s="108">
        <v>0</v>
      </c>
    </row>
    <row r="121" spans="3:36">
      <c r="C121" s="35"/>
      <c r="D121" s="35"/>
      <c r="E121" s="35"/>
      <c r="F121" s="23"/>
      <c r="G121" s="15"/>
      <c r="H121" s="14" t="s">
        <v>3449</v>
      </c>
      <c r="I121" s="14" t="s">
        <v>3458</v>
      </c>
      <c r="J121" s="13" t="str">
        <f>Φύλλο1!AT73</f>
        <v/>
      </c>
      <c r="K121" s="15"/>
      <c r="L121" s="17" t="s">
        <v>3446</v>
      </c>
      <c r="M121" s="14"/>
      <c r="N121" s="17" t="s">
        <v>3447</v>
      </c>
      <c r="O121" s="16" t="str">
        <f>Φύλλο1!AY74</f>
        <v/>
      </c>
      <c r="P121" s="16" t="str">
        <f>Φύλλο1!AZ74</f>
        <v/>
      </c>
      <c r="Q121" s="22"/>
      <c r="R121" s="35"/>
      <c r="S121" s="35"/>
      <c r="T121" s="35"/>
      <c r="Y121" s="108">
        <v>3</v>
      </c>
      <c r="Z121" s="108">
        <v>0</v>
      </c>
      <c r="AA121" s="108">
        <v>0</v>
      </c>
      <c r="AB121" s="108">
        <v>0</v>
      </c>
      <c r="AC121" s="108">
        <v>0</v>
      </c>
      <c r="AD121" s="108">
        <v>0</v>
      </c>
      <c r="AE121" s="108">
        <v>0</v>
      </c>
      <c r="AF121" s="108">
        <v>0</v>
      </c>
      <c r="AG121" s="108">
        <v>0</v>
      </c>
      <c r="AH121" s="108">
        <v>0</v>
      </c>
      <c r="AI121" s="108">
        <v>0</v>
      </c>
      <c r="AJ121" s="108">
        <v>0</v>
      </c>
    </row>
    <row r="122" spans="3:36" ht="20.25">
      <c r="C122" s="35"/>
      <c r="D122" s="35"/>
      <c r="E122" s="35"/>
      <c r="F122" s="103" t="str">
        <f>Φύλλο1!AQ74</f>
        <v/>
      </c>
      <c r="G122" s="15"/>
      <c r="H122" s="15"/>
      <c r="I122" s="14" t="s">
        <v>3457</v>
      </c>
      <c r="J122" s="13" t="str">
        <f>Φύλλο1!AT74</f>
        <v/>
      </c>
      <c r="K122" s="24"/>
      <c r="L122" s="65">
        <f ca="1">Φύλλο1!AV74</f>
        <v>307.06074194237732</v>
      </c>
      <c r="M122" s="53"/>
      <c r="N122" s="65">
        <f ca="1">Φύλλο1!AX74</f>
        <v>-23.17166833781301</v>
      </c>
      <c r="O122" s="16" t="str">
        <f>Φύλλο1!AY75</f>
        <v/>
      </c>
      <c r="P122" s="16" t="str">
        <f>Φύλλο1!AZ75</f>
        <v/>
      </c>
      <c r="Q122" s="22"/>
      <c r="R122" s="35"/>
      <c r="S122" s="35"/>
      <c r="T122" s="35"/>
      <c r="W122" s="108" t="s">
        <v>3523</v>
      </c>
      <c r="Y122" s="108">
        <v>4</v>
      </c>
      <c r="Z122" s="108">
        <f>Φύλλο1!AS90</f>
        <v>0</v>
      </c>
      <c r="AA122" s="108">
        <f>Φύλλο1!AS92</f>
        <v>37</v>
      </c>
      <c r="AB122" s="108">
        <f>Φύλλο1!AS93</f>
        <v>23.908000000000001</v>
      </c>
      <c r="AC122" s="108">
        <f>Φύλλο1!AS91</f>
        <v>2020</v>
      </c>
      <c r="AD122" s="108">
        <f>Φύλλο1!AS94</f>
        <v>2</v>
      </c>
      <c r="AE122" s="108">
        <f>Φύλλο1!AS95</f>
        <v>2</v>
      </c>
      <c r="AF122" s="108">
        <f>Φύλλο1!AS96</f>
        <v>10</v>
      </c>
      <c r="AG122" s="108">
        <f>Φύλλο1!AS97</f>
        <v>31</v>
      </c>
      <c r="AH122" s="108">
        <f>Φύλλο1!AS98</f>
        <v>32</v>
      </c>
      <c r="AI122" s="108">
        <f>Φύλλο1!AS99</f>
        <v>0</v>
      </c>
      <c r="AJ122" s="108" t="str">
        <f>Φύλλο1!AS100</f>
        <v>α leo</v>
      </c>
    </row>
    <row r="123" spans="3:36">
      <c r="C123" s="35"/>
      <c r="D123" s="35"/>
      <c r="E123" s="35"/>
      <c r="F123" s="103" t="str">
        <f>Φύλλο1!AQ75</f>
        <v/>
      </c>
      <c r="G123" s="15"/>
      <c r="H123" s="15"/>
      <c r="I123" s="14"/>
      <c r="J123" s="66"/>
      <c r="K123" s="14"/>
      <c r="L123" s="63" t="str">
        <f ca="1">Φύλλο1!AU75</f>
        <v>Είναι κάτω από τον ορίζοντα!!!</v>
      </c>
      <c r="M123" s="14"/>
      <c r="N123" s="17"/>
      <c r="O123" s="15"/>
      <c r="P123" s="15"/>
      <c r="Q123" s="22"/>
      <c r="R123" s="35"/>
      <c r="S123" s="35"/>
      <c r="T123" s="35"/>
      <c r="Y123" s="108">
        <v>20</v>
      </c>
      <c r="Z123" s="108">
        <v>0</v>
      </c>
      <c r="AA123" s="108">
        <v>0</v>
      </c>
      <c r="AB123" s="108">
        <v>0</v>
      </c>
      <c r="AC123" s="108">
        <v>0</v>
      </c>
      <c r="AD123" s="108">
        <v>0</v>
      </c>
      <c r="AE123" s="108">
        <v>0</v>
      </c>
      <c r="AF123" s="108">
        <v>0</v>
      </c>
      <c r="AG123" s="108">
        <v>0</v>
      </c>
      <c r="AH123" s="108">
        <v>0</v>
      </c>
      <c r="AI123" s="108">
        <v>0</v>
      </c>
      <c r="AJ123" s="108">
        <v>0</v>
      </c>
    </row>
    <row r="124" spans="3:36">
      <c r="C124" s="35"/>
      <c r="D124" s="35"/>
      <c r="E124" s="35"/>
      <c r="F124" s="23"/>
      <c r="G124" s="15"/>
      <c r="H124" s="15"/>
      <c r="I124" s="25" t="s">
        <v>3459</v>
      </c>
      <c r="J124" s="14"/>
      <c r="K124" s="51"/>
      <c r="L124" s="89" t="str">
        <f>Φύλλο1!AV76</f>
        <v xml:space="preserve">α Λέοντος Βασιλίσκος. Διπλός </v>
      </c>
      <c r="M124" s="15"/>
      <c r="N124" s="15"/>
      <c r="O124" s="15"/>
      <c r="P124" s="15"/>
      <c r="Q124" s="22"/>
      <c r="R124" s="35"/>
      <c r="S124" s="35"/>
      <c r="T124" s="35"/>
      <c r="W124" s="109" t="s">
        <v>3653</v>
      </c>
      <c r="Z124" s="108">
        <f>LOOKUP(X117,(Y118:Y123),(Z118:Z123))</f>
        <v>0</v>
      </c>
      <c r="AA124" s="108">
        <f>LOOKUP(X117,(Y118:Y123),(AA118:AA123))</f>
        <v>37</v>
      </c>
      <c r="AB124" s="108">
        <f>LOOKUP(X117,(Y118:Y123),(AB118:AB123))</f>
        <v>23.908000000000001</v>
      </c>
      <c r="AC124" s="108">
        <f>LOOKUP(X117,(Y118:Y123),(AC118:AC123))</f>
        <v>2020</v>
      </c>
      <c r="AD124" s="108">
        <f>LOOKUP(X117,(Y118:Y123),(AD118:AD123))</f>
        <v>2</v>
      </c>
      <c r="AE124" s="108">
        <f>LOOKUP(X117,(Y118:Y123),(AE118:AE123))</f>
        <v>2</v>
      </c>
      <c r="AF124" s="108">
        <f>LOOKUP(X117,(Y118:Y123),(AF118:AF123))</f>
        <v>10</v>
      </c>
      <c r="AG124" s="108">
        <f>LOOKUP(X117,(Y118:Y123),(AG118:AG123))</f>
        <v>31</v>
      </c>
      <c r="AH124" s="108">
        <f>LOOKUP(X117,(Y118:Y123),(AH118:AH123))</f>
        <v>32</v>
      </c>
      <c r="AI124" s="108">
        <f>LOOKUP(X117,(Y118:Y123),(AI118:AI123))</f>
        <v>0</v>
      </c>
      <c r="AJ124" s="108" t="str">
        <f>LOOKUP(X117,(Y118:Y123),(AJ118:AJ123))</f>
        <v>α leo</v>
      </c>
    </row>
    <row r="125" spans="3:36">
      <c r="C125" s="35"/>
      <c r="D125" s="35"/>
      <c r="E125" s="35"/>
      <c r="F125" s="23"/>
      <c r="G125" s="14"/>
      <c r="H125" s="14"/>
      <c r="I125" s="14" t="s">
        <v>3720</v>
      </c>
      <c r="J125" s="14"/>
      <c r="K125" s="52" t="s">
        <v>3448</v>
      </c>
      <c r="L125" s="89" t="str">
        <f>Φύλλο1!AV77</f>
        <v xml:space="preserve">α Leo. Διπλός Regulus </v>
      </c>
      <c r="M125" s="15"/>
      <c r="N125" s="15"/>
      <c r="O125" s="15"/>
      <c r="P125" s="15"/>
      <c r="Q125" s="22"/>
      <c r="R125" s="35"/>
      <c r="S125" s="35"/>
      <c r="T125" s="35"/>
      <c r="X125" s="109" t="s">
        <v>3652</v>
      </c>
    </row>
    <row r="126" spans="3:36">
      <c r="C126" s="35"/>
      <c r="D126" s="35"/>
      <c r="E126" s="35"/>
      <c r="F126" s="23"/>
      <c r="G126" s="16"/>
      <c r="H126" s="96"/>
      <c r="I126" s="97" t="s">
        <v>3853</v>
      </c>
      <c r="J126" s="14"/>
      <c r="K126" s="14"/>
      <c r="L126" s="60" t="str">
        <f>Φύλλο1!AV78</f>
        <v>Ώρα Ελλάδος</v>
      </c>
      <c r="M126" s="15"/>
      <c r="N126" s="15"/>
      <c r="O126" s="15"/>
      <c r="P126" s="15"/>
      <c r="Q126" s="22"/>
      <c r="R126" s="35"/>
      <c r="S126" s="35"/>
      <c r="T126" s="35"/>
    </row>
    <row r="127" spans="3:36">
      <c r="C127" s="35"/>
      <c r="D127" s="35"/>
      <c r="E127" s="35"/>
      <c r="F127" s="23"/>
      <c r="G127" s="16"/>
      <c r="H127" s="96"/>
      <c r="I127" s="14" t="s">
        <v>3851</v>
      </c>
      <c r="J127" s="14" t="s">
        <v>3852</v>
      </c>
      <c r="K127" s="26"/>
      <c r="L127" s="64">
        <f ca="1">Φύλλο1!AV79</f>
        <v>11</v>
      </c>
      <c r="M127" s="64">
        <f ca="1">Φύλλο1!AW79</f>
        <v>40</v>
      </c>
      <c r="N127" s="64">
        <f ca="1">Φύλλο1!AX79</f>
        <v>27</v>
      </c>
      <c r="O127" s="26"/>
      <c r="P127" s="26"/>
      <c r="Q127" s="27"/>
      <c r="R127" s="35"/>
      <c r="S127" s="35"/>
      <c r="T127" s="35"/>
    </row>
    <row r="128" spans="3:36">
      <c r="C128" s="35"/>
      <c r="D128" s="35"/>
      <c r="E128" s="35"/>
      <c r="F128" s="98"/>
      <c r="G128" s="96"/>
      <c r="H128" s="96"/>
      <c r="I128" s="97">
        <f ca="1">Φύλλο1!AS80</f>
        <v>10</v>
      </c>
      <c r="J128" s="104">
        <f ca="1">Φύλλο1!AT80</f>
        <v>9</v>
      </c>
      <c r="K128" s="35"/>
      <c r="L128" s="73" t="s">
        <v>3725</v>
      </c>
      <c r="M128" s="35"/>
      <c r="N128" s="35"/>
      <c r="O128" s="35"/>
      <c r="P128" s="2"/>
      <c r="Q128" s="2"/>
      <c r="R128" s="35"/>
      <c r="S128" s="35"/>
      <c r="T128" s="35"/>
    </row>
    <row r="129" spans="3:20">
      <c r="C129" s="35"/>
      <c r="D129" s="35"/>
      <c r="E129" s="35"/>
      <c r="F129" s="100" t="str">
        <f ca="1">Φύλλο1!AQ81</f>
        <v/>
      </c>
      <c r="G129" s="26"/>
      <c r="H129" s="26"/>
      <c r="I129" s="105" t="str">
        <f ca="1">Φύλλο1!AS81</f>
        <v/>
      </c>
      <c r="J129" s="99" t="str">
        <f ca="1">Φύλλο1!AT81</f>
        <v/>
      </c>
      <c r="K129" s="35"/>
      <c r="L129" s="72" t="s">
        <v>3724</v>
      </c>
      <c r="M129" s="35"/>
      <c r="N129" s="35"/>
      <c r="O129" s="35"/>
      <c r="P129" s="76" t="s">
        <v>3528</v>
      </c>
      <c r="Q129" s="75" t="s">
        <v>3529</v>
      </c>
      <c r="R129" s="35"/>
      <c r="S129" s="35"/>
      <c r="T129" s="35"/>
    </row>
    <row r="130" spans="3:20">
      <c r="C130" s="35"/>
      <c r="D130" s="35"/>
      <c r="E130" s="35"/>
      <c r="F130" s="35"/>
      <c r="G130" s="41"/>
      <c r="H130" s="35"/>
      <c r="I130" s="35"/>
      <c r="J130" s="35"/>
      <c r="K130" s="35"/>
      <c r="L130" s="77" t="s">
        <v>3726</v>
      </c>
      <c r="M130" s="78"/>
      <c r="N130" s="78"/>
      <c r="O130" s="79"/>
      <c r="P130" s="86">
        <v>37.984999999999999</v>
      </c>
      <c r="Q130" s="86">
        <v>22.198</v>
      </c>
      <c r="R130" s="35"/>
      <c r="S130" s="35"/>
      <c r="T130" s="35"/>
    </row>
    <row r="131" spans="3:20">
      <c r="C131" s="35"/>
      <c r="D131" s="35"/>
      <c r="E131" s="35"/>
      <c r="F131" s="35"/>
      <c r="G131" s="38"/>
      <c r="H131" s="35"/>
      <c r="I131" s="35"/>
      <c r="J131" s="35"/>
      <c r="K131" s="35"/>
      <c r="L131" s="85" t="s">
        <v>3727</v>
      </c>
      <c r="M131" s="74"/>
      <c r="N131" s="74"/>
      <c r="O131" s="81"/>
      <c r="P131" s="87">
        <v>37.67</v>
      </c>
      <c r="Q131" s="87">
        <v>23.946000000000002</v>
      </c>
      <c r="R131" s="35"/>
      <c r="S131" s="35"/>
      <c r="T131" s="35"/>
    </row>
    <row r="132" spans="3:20">
      <c r="C132" s="35"/>
      <c r="D132" s="35"/>
      <c r="E132" s="35"/>
      <c r="F132" s="35"/>
      <c r="G132" s="41"/>
      <c r="H132" s="35"/>
      <c r="I132" s="35"/>
      <c r="J132" s="35"/>
      <c r="K132" s="35"/>
      <c r="L132" s="85" t="s">
        <v>3728</v>
      </c>
      <c r="M132" s="74"/>
      <c r="N132" s="74"/>
      <c r="O132" s="81"/>
      <c r="P132" s="87">
        <v>38.183</v>
      </c>
      <c r="Q132" s="87">
        <v>23.285</v>
      </c>
      <c r="R132" s="35"/>
      <c r="S132" s="35"/>
      <c r="T132" s="35"/>
    </row>
    <row r="133" spans="3:20">
      <c r="C133" s="35"/>
      <c r="D133" s="35"/>
      <c r="E133" s="35"/>
      <c r="F133" s="35"/>
      <c r="G133" s="41"/>
      <c r="H133" s="35"/>
      <c r="I133" s="35"/>
      <c r="J133" s="35"/>
      <c r="K133" s="35"/>
      <c r="L133" s="80"/>
      <c r="M133" s="74"/>
      <c r="N133" s="74"/>
      <c r="O133" s="81"/>
      <c r="P133" s="87"/>
      <c r="Q133" s="87"/>
      <c r="R133" s="35"/>
      <c r="S133" s="35"/>
      <c r="T133" s="35"/>
    </row>
    <row r="134" spans="3:20">
      <c r="C134" s="35"/>
      <c r="D134" s="35"/>
      <c r="E134" s="35"/>
      <c r="F134" s="35"/>
      <c r="G134" s="41"/>
      <c r="H134" s="35"/>
      <c r="I134" s="35"/>
      <c r="J134" s="35"/>
      <c r="K134" s="35"/>
      <c r="L134" s="80"/>
      <c r="M134" s="74"/>
      <c r="N134" s="74"/>
      <c r="O134" s="81"/>
      <c r="P134" s="87"/>
      <c r="Q134" s="87"/>
      <c r="R134" s="35"/>
      <c r="S134" s="35"/>
      <c r="T134" s="35"/>
    </row>
    <row r="135" spans="3:20">
      <c r="C135" s="35"/>
      <c r="D135" s="35"/>
      <c r="E135" s="35"/>
      <c r="F135" s="35"/>
      <c r="G135" s="41"/>
      <c r="H135" s="35"/>
      <c r="I135" s="35"/>
      <c r="J135" s="35"/>
      <c r="K135" s="35"/>
      <c r="L135" s="80"/>
      <c r="M135" s="74"/>
      <c r="N135" s="74"/>
      <c r="O135" s="81"/>
      <c r="P135" s="87"/>
      <c r="Q135" s="87"/>
      <c r="R135" s="35"/>
      <c r="S135" s="35"/>
      <c r="T135" s="35"/>
    </row>
    <row r="136" spans="3:20">
      <c r="C136" s="35"/>
      <c r="D136" s="35"/>
      <c r="E136" s="35"/>
      <c r="F136" s="35"/>
      <c r="G136" s="41"/>
      <c r="H136" s="35"/>
      <c r="I136" s="35"/>
      <c r="J136" s="35"/>
      <c r="K136" s="35"/>
      <c r="L136" s="80"/>
      <c r="M136" s="74"/>
      <c r="N136" s="74"/>
      <c r="O136" s="81"/>
      <c r="P136" s="87"/>
      <c r="Q136" s="87"/>
      <c r="R136" s="35"/>
      <c r="S136" s="35"/>
      <c r="T136" s="35"/>
    </row>
    <row r="137" spans="3:20">
      <c r="C137" s="35"/>
      <c r="D137" s="35"/>
      <c r="E137" s="35"/>
      <c r="F137" s="35"/>
      <c r="G137" s="41"/>
      <c r="H137" s="35"/>
      <c r="I137" s="35"/>
      <c r="J137" s="35"/>
      <c r="K137" s="35"/>
      <c r="L137" s="80"/>
      <c r="M137" s="74"/>
      <c r="N137" s="74"/>
      <c r="O137" s="81"/>
      <c r="P137" s="87"/>
      <c r="Q137" s="87"/>
      <c r="R137" s="35"/>
      <c r="S137" s="35"/>
      <c r="T137" s="35"/>
    </row>
    <row r="138" spans="3:20">
      <c r="C138" s="35"/>
      <c r="D138" s="35"/>
      <c r="E138" s="35"/>
      <c r="F138" s="35"/>
      <c r="G138" s="41"/>
      <c r="H138" s="35"/>
      <c r="I138" s="35"/>
      <c r="J138" s="35"/>
      <c r="K138" s="35"/>
      <c r="L138" s="80"/>
      <c r="M138" s="74"/>
      <c r="N138" s="74"/>
      <c r="O138" s="81"/>
      <c r="P138" s="87"/>
      <c r="Q138" s="87"/>
      <c r="R138" s="35"/>
      <c r="S138" s="35"/>
      <c r="T138" s="35"/>
    </row>
    <row r="139" spans="3:20">
      <c r="C139" s="35"/>
      <c r="D139" s="35"/>
      <c r="E139" s="35"/>
      <c r="F139" s="35"/>
      <c r="G139" s="41"/>
      <c r="H139" s="35"/>
      <c r="I139" s="35"/>
      <c r="J139" s="35"/>
      <c r="K139" s="35"/>
      <c r="L139" s="80"/>
      <c r="M139" s="74"/>
      <c r="N139" s="74"/>
      <c r="O139" s="81"/>
      <c r="P139" s="87"/>
      <c r="Q139" s="87"/>
      <c r="R139" s="35"/>
      <c r="S139" s="35"/>
      <c r="T139" s="35"/>
    </row>
    <row r="140" spans="3:20">
      <c r="C140" s="35"/>
      <c r="D140" s="35"/>
      <c r="E140" s="35"/>
      <c r="F140" s="35"/>
      <c r="G140" s="41"/>
      <c r="H140" s="35"/>
      <c r="I140" s="35"/>
      <c r="J140" s="35"/>
      <c r="K140" s="35"/>
      <c r="L140" s="80"/>
      <c r="M140" s="74"/>
      <c r="N140" s="74"/>
      <c r="O140" s="81"/>
      <c r="P140" s="87"/>
      <c r="Q140" s="87"/>
      <c r="R140" s="35"/>
      <c r="S140" s="35"/>
      <c r="T140" s="35"/>
    </row>
    <row r="141" spans="3:20">
      <c r="C141" s="35"/>
      <c r="D141" s="35"/>
      <c r="E141" s="35"/>
      <c r="F141" s="35"/>
      <c r="G141" s="41"/>
      <c r="H141" s="35"/>
      <c r="I141" s="35"/>
      <c r="J141" s="35"/>
      <c r="K141" s="35"/>
      <c r="L141" s="80"/>
      <c r="M141" s="74"/>
      <c r="N141" s="74"/>
      <c r="O141" s="81"/>
      <c r="P141" s="87"/>
      <c r="Q141" s="87"/>
      <c r="R141" s="35"/>
      <c r="S141" s="35"/>
      <c r="T141" s="35"/>
    </row>
    <row r="142" spans="3:20">
      <c r="C142" s="35"/>
      <c r="D142" s="35"/>
      <c r="E142" s="35"/>
      <c r="F142" s="35"/>
      <c r="G142" s="41"/>
      <c r="H142" s="35"/>
      <c r="I142" s="35"/>
      <c r="J142" s="35"/>
      <c r="K142" s="35"/>
      <c r="L142" s="80"/>
      <c r="M142" s="74"/>
      <c r="N142" s="74"/>
      <c r="O142" s="81"/>
      <c r="P142" s="87"/>
      <c r="Q142" s="87"/>
      <c r="R142" s="35"/>
      <c r="S142" s="35"/>
      <c r="T142" s="35"/>
    </row>
    <row r="143" spans="3:20">
      <c r="C143" s="35"/>
      <c r="D143" s="35"/>
      <c r="E143" s="35"/>
      <c r="F143" s="35"/>
      <c r="G143" s="41"/>
      <c r="H143" s="35"/>
      <c r="I143" s="35"/>
      <c r="J143" s="35"/>
      <c r="K143" s="35"/>
      <c r="L143" s="80"/>
      <c r="M143" s="74"/>
      <c r="N143" s="74"/>
      <c r="O143" s="81"/>
      <c r="P143" s="87"/>
      <c r="Q143" s="87"/>
      <c r="R143" s="35"/>
      <c r="S143" s="35"/>
      <c r="T143" s="35"/>
    </row>
    <row r="144" spans="3:20">
      <c r="C144" s="35"/>
      <c r="D144" s="35"/>
      <c r="E144" s="35"/>
      <c r="F144" s="35"/>
      <c r="G144" s="41"/>
      <c r="H144" s="35"/>
      <c r="I144" s="35"/>
      <c r="J144" s="35"/>
      <c r="K144" s="35"/>
      <c r="L144" s="80"/>
      <c r="M144" s="74"/>
      <c r="N144" s="74"/>
      <c r="O144" s="81"/>
      <c r="P144" s="87"/>
      <c r="Q144" s="87"/>
      <c r="R144" s="35"/>
      <c r="S144" s="35"/>
      <c r="T144" s="35"/>
    </row>
    <row r="145" spans="3:20">
      <c r="C145" s="35"/>
      <c r="D145" s="35"/>
      <c r="E145" s="35"/>
      <c r="F145" s="35"/>
      <c r="G145" s="41"/>
      <c r="H145" s="35"/>
      <c r="I145" s="35"/>
      <c r="J145" s="35"/>
      <c r="K145" s="35"/>
      <c r="L145" s="80"/>
      <c r="M145" s="74"/>
      <c r="N145" s="74"/>
      <c r="O145" s="81"/>
      <c r="P145" s="87"/>
      <c r="Q145" s="87"/>
      <c r="R145" s="35"/>
      <c r="S145" s="35"/>
      <c r="T145" s="35"/>
    </row>
    <row r="146" spans="3:20">
      <c r="C146" s="35"/>
      <c r="D146" s="35"/>
      <c r="E146" s="35"/>
      <c r="F146" s="35"/>
      <c r="G146" s="41"/>
      <c r="H146" s="35"/>
      <c r="I146" s="35"/>
      <c r="J146" s="35"/>
      <c r="K146" s="35"/>
      <c r="L146" s="82"/>
      <c r="M146" s="83"/>
      <c r="N146" s="83"/>
      <c r="O146" s="84"/>
      <c r="P146" s="88"/>
      <c r="Q146" s="88"/>
      <c r="R146" s="35"/>
      <c r="S146" s="35"/>
      <c r="T146" s="35"/>
    </row>
    <row r="147" spans="3:20">
      <c r="C147" s="35"/>
      <c r="D147" s="35"/>
      <c r="E147" s="35"/>
      <c r="F147" s="35"/>
      <c r="G147" s="41"/>
      <c r="H147" s="35"/>
      <c r="I147" s="35"/>
      <c r="J147" s="35"/>
      <c r="K147" s="35"/>
      <c r="L147" s="35"/>
      <c r="M147" s="35"/>
      <c r="N147" s="35"/>
      <c r="O147" s="35"/>
      <c r="P147" s="2"/>
      <c r="Q147" s="2"/>
      <c r="R147" s="35"/>
      <c r="S147" s="35"/>
      <c r="T147" s="35"/>
    </row>
    <row r="148" spans="3:20">
      <c r="C148" s="35"/>
      <c r="D148" s="35"/>
      <c r="E148" s="35"/>
      <c r="F148" s="35"/>
      <c r="G148" s="41"/>
      <c r="H148" s="35"/>
      <c r="I148" s="35"/>
      <c r="J148" s="35"/>
      <c r="K148" s="35"/>
      <c r="L148" s="35"/>
      <c r="M148" s="35"/>
      <c r="N148" s="35"/>
      <c r="O148" s="35"/>
      <c r="P148" s="2"/>
      <c r="Q148" s="2"/>
      <c r="R148" s="35"/>
      <c r="S148" s="35"/>
      <c r="T148" s="35"/>
    </row>
    <row r="149" spans="3:20">
      <c r="C149" s="35"/>
      <c r="D149" s="35"/>
      <c r="E149" s="35"/>
      <c r="F149" s="35"/>
      <c r="G149" s="41"/>
      <c r="H149" s="35"/>
      <c r="I149" s="35"/>
      <c r="J149" s="35"/>
      <c r="K149" s="35"/>
      <c r="L149" s="35"/>
      <c r="M149" s="35"/>
      <c r="N149" s="35"/>
      <c r="O149" s="35"/>
      <c r="P149" s="2"/>
      <c r="Q149" s="2"/>
      <c r="R149" s="35"/>
      <c r="S149" s="35"/>
      <c r="T149" s="35"/>
    </row>
    <row r="150" spans="3:20">
      <c r="C150" s="35"/>
      <c r="D150" s="35"/>
      <c r="E150" s="35"/>
      <c r="F150" s="35"/>
      <c r="G150" s="41"/>
      <c r="H150" s="35"/>
      <c r="I150" s="35"/>
      <c r="J150" s="35"/>
      <c r="K150" s="35"/>
      <c r="L150" s="35"/>
      <c r="M150" s="35"/>
      <c r="N150" s="35"/>
      <c r="O150" s="35"/>
      <c r="P150" s="2"/>
      <c r="Q150" s="2"/>
      <c r="R150" s="35"/>
      <c r="S150" s="35"/>
      <c r="T150" s="35"/>
    </row>
    <row r="151" spans="3:20">
      <c r="C151" s="35"/>
      <c r="D151" s="35"/>
      <c r="E151" s="35"/>
      <c r="F151" s="35"/>
      <c r="G151" s="41"/>
      <c r="H151" s="35"/>
      <c r="I151" s="35"/>
      <c r="J151" s="35"/>
      <c r="K151" s="35"/>
      <c r="L151" s="35"/>
      <c r="M151" s="35"/>
      <c r="N151" s="35"/>
      <c r="O151" s="35"/>
      <c r="P151" s="2"/>
      <c r="Q151" s="2"/>
      <c r="R151" s="35"/>
      <c r="S151" s="35"/>
      <c r="T151" s="35"/>
    </row>
    <row r="152" spans="3:20">
      <c r="K152" s="10"/>
    </row>
    <row r="153" spans="3:20">
      <c r="K153" s="10"/>
    </row>
    <row r="154" spans="3:20">
      <c r="K154" s="10"/>
    </row>
    <row r="155" spans="3:20">
      <c r="K155" s="10"/>
    </row>
    <row r="156" spans="3:20">
      <c r="K156" s="10"/>
    </row>
    <row r="157" spans="3:20">
      <c r="K157" s="10"/>
    </row>
    <row r="158" spans="3:20">
      <c r="K158" s="10"/>
    </row>
    <row r="159" spans="3:20">
      <c r="K159" s="10"/>
    </row>
    <row r="160" spans="3:20">
      <c r="K160" s="10"/>
    </row>
    <row r="161" spans="11:11">
      <c r="K161" s="10"/>
    </row>
    <row r="162" spans="11:11">
      <c r="K162" s="10"/>
    </row>
    <row r="163" spans="11:11">
      <c r="K163" s="10"/>
    </row>
    <row r="164" spans="11:11">
      <c r="K164" s="10"/>
    </row>
    <row r="165" spans="11:11">
      <c r="K165" s="10"/>
    </row>
    <row r="166" spans="11:11">
      <c r="K166" s="10"/>
    </row>
    <row r="167" spans="11:11">
      <c r="K167" s="10"/>
    </row>
    <row r="168" spans="11:11">
      <c r="K168" s="10"/>
    </row>
    <row r="169" spans="11:11">
      <c r="K169" s="10"/>
    </row>
    <row r="170" spans="11:11">
      <c r="K170" s="10"/>
    </row>
    <row r="171" spans="11:11">
      <c r="K171" s="10"/>
    </row>
    <row r="172" spans="11:11">
      <c r="K172" s="10"/>
    </row>
    <row r="173" spans="11:11">
      <c r="K173" s="10"/>
    </row>
    <row r="174" spans="11:11">
      <c r="K174" s="10"/>
    </row>
    <row r="175" spans="11:11">
      <c r="K175" s="10"/>
    </row>
    <row r="176" spans="11:11">
      <c r="K176" s="10"/>
    </row>
    <row r="177" spans="11:11">
      <c r="K177" s="10"/>
    </row>
    <row r="178" spans="11:11">
      <c r="K178" s="10"/>
    </row>
    <row r="179" spans="11:11">
      <c r="K179" s="10"/>
    </row>
    <row r="180" spans="11:11">
      <c r="K180" s="10"/>
    </row>
    <row r="181" spans="11:11">
      <c r="K181" s="10"/>
    </row>
    <row r="182" spans="11:11">
      <c r="K182" s="10"/>
    </row>
    <row r="183" spans="11:11">
      <c r="K183" s="10"/>
    </row>
    <row r="184" spans="11:11">
      <c r="K184" s="10"/>
    </row>
    <row r="185" spans="11:11">
      <c r="K185" s="10"/>
    </row>
    <row r="186" spans="11:11">
      <c r="K186" s="10"/>
    </row>
    <row r="187" spans="11:11">
      <c r="K187" s="10"/>
    </row>
    <row r="188" spans="11:11">
      <c r="K188" s="10"/>
    </row>
    <row r="189" spans="11:11">
      <c r="K189" s="10"/>
    </row>
    <row r="190" spans="11:11">
      <c r="K190" s="10"/>
    </row>
    <row r="191" spans="11:11">
      <c r="K191" s="10"/>
    </row>
    <row r="192" spans="11:11">
      <c r="K192" s="10"/>
    </row>
    <row r="193" spans="11:11">
      <c r="K193" s="10"/>
    </row>
    <row r="194" spans="11:11">
      <c r="K194" s="10"/>
    </row>
    <row r="195" spans="11:11">
      <c r="K195" s="10"/>
    </row>
    <row r="196" spans="11:11">
      <c r="K196" s="10"/>
    </row>
    <row r="197" spans="11:11">
      <c r="K197" s="10"/>
    </row>
    <row r="198" spans="11:11">
      <c r="K198" s="10"/>
    </row>
    <row r="199" spans="11:11">
      <c r="K199" s="10"/>
    </row>
    <row r="200" spans="11:11">
      <c r="K200" s="10"/>
    </row>
    <row r="201" spans="11:11">
      <c r="K201" s="10"/>
    </row>
    <row r="202" spans="11:11">
      <c r="K202" s="10"/>
    </row>
    <row r="203" spans="11:11">
      <c r="K203" s="10"/>
    </row>
    <row r="204" spans="11:11">
      <c r="K204" s="10"/>
    </row>
    <row r="205" spans="11:11">
      <c r="K205" s="10"/>
    </row>
    <row r="206" spans="11:11">
      <c r="K206" s="10"/>
    </row>
    <row r="207" spans="11:11">
      <c r="K207" s="10"/>
    </row>
    <row r="208" spans="11:11">
      <c r="K208" s="10"/>
    </row>
    <row r="209" spans="11:11">
      <c r="K209" s="10"/>
    </row>
    <row r="210" spans="11:11">
      <c r="K210" s="10"/>
    </row>
    <row r="211" spans="11:11">
      <c r="K211" s="10"/>
    </row>
    <row r="212" spans="11:11">
      <c r="K212" s="10"/>
    </row>
    <row r="213" spans="11:11">
      <c r="K213" s="10"/>
    </row>
    <row r="214" spans="11:11">
      <c r="K214" s="10"/>
    </row>
    <row r="215" spans="11:11">
      <c r="K215" s="10"/>
    </row>
    <row r="216" spans="11:11">
      <c r="K216" s="10"/>
    </row>
    <row r="217" spans="11:11">
      <c r="K217" s="10"/>
    </row>
    <row r="218" spans="11:11">
      <c r="K218" s="10"/>
    </row>
    <row r="219" spans="11:11">
      <c r="K219" s="10"/>
    </row>
    <row r="220" spans="11:11">
      <c r="K220" s="10"/>
    </row>
    <row r="221" spans="11:11">
      <c r="K221" s="10"/>
    </row>
    <row r="222" spans="11:11">
      <c r="K222" s="10"/>
    </row>
    <row r="223" spans="11:11">
      <c r="K223" s="10"/>
    </row>
    <row r="224" spans="11:11">
      <c r="K224" s="10"/>
    </row>
    <row r="225" spans="11:11">
      <c r="K225" s="10"/>
    </row>
    <row r="226" spans="11:11">
      <c r="K226" s="10"/>
    </row>
    <row r="227" spans="11:11">
      <c r="K227" s="10"/>
    </row>
    <row r="228" spans="11:11">
      <c r="K228" s="10"/>
    </row>
    <row r="229" spans="11:11">
      <c r="K229" s="10"/>
    </row>
    <row r="230" spans="11:11">
      <c r="K230" s="10"/>
    </row>
    <row r="231" spans="11:11">
      <c r="K231" s="10"/>
    </row>
    <row r="232" spans="11:11">
      <c r="K232" s="10"/>
    </row>
    <row r="233" spans="11:11">
      <c r="K233" s="10"/>
    </row>
    <row r="234" spans="11:11">
      <c r="K234" s="10"/>
    </row>
    <row r="235" spans="11:11">
      <c r="K235" s="10"/>
    </row>
    <row r="236" spans="11:11">
      <c r="K236" s="10"/>
    </row>
    <row r="237" spans="11:11">
      <c r="K237" s="10"/>
    </row>
    <row r="238" spans="11:11">
      <c r="K238" s="10"/>
    </row>
    <row r="239" spans="11:11">
      <c r="K239" s="10"/>
    </row>
    <row r="240" spans="11:11">
      <c r="K240" s="10"/>
    </row>
    <row r="241" spans="11:11">
      <c r="K241" s="10"/>
    </row>
    <row r="242" spans="11:11">
      <c r="K242" s="10"/>
    </row>
    <row r="243" spans="11:11">
      <c r="K243" s="10"/>
    </row>
    <row r="244" spans="11:11">
      <c r="K244" s="10"/>
    </row>
    <row r="245" spans="11:11">
      <c r="K245" s="10"/>
    </row>
    <row r="246" spans="11:11">
      <c r="K246" s="10"/>
    </row>
    <row r="247" spans="11:11">
      <c r="K247" s="10"/>
    </row>
    <row r="248" spans="11:11">
      <c r="K248" s="10"/>
    </row>
    <row r="249" spans="11:11">
      <c r="K249" s="10"/>
    </row>
    <row r="250" spans="11:11">
      <c r="K250" s="10"/>
    </row>
    <row r="251" spans="11:11">
      <c r="K251" s="10"/>
    </row>
    <row r="252" spans="11:11">
      <c r="K252" s="10"/>
    </row>
    <row r="253" spans="11:11">
      <c r="K253" s="10"/>
    </row>
    <row r="254" spans="11:11">
      <c r="K254" s="10"/>
    </row>
    <row r="255" spans="11:11">
      <c r="K255" s="10"/>
    </row>
    <row r="256" spans="11:11">
      <c r="K256" s="10"/>
    </row>
    <row r="257" spans="11:11">
      <c r="K257" s="10"/>
    </row>
    <row r="258" spans="11:11">
      <c r="K258" s="10"/>
    </row>
    <row r="259" spans="11:11">
      <c r="K259" s="10"/>
    </row>
    <row r="260" spans="11:11">
      <c r="K260" s="10"/>
    </row>
    <row r="261" spans="11:11">
      <c r="K261" s="10"/>
    </row>
    <row r="262" spans="11:11">
      <c r="K262" s="10"/>
    </row>
    <row r="263" spans="11:11">
      <c r="K263" s="10"/>
    </row>
    <row r="264" spans="11:11">
      <c r="K264" s="10"/>
    </row>
    <row r="265" spans="11:11">
      <c r="K265" s="10"/>
    </row>
    <row r="266" spans="11:11">
      <c r="K266" s="10"/>
    </row>
    <row r="267" spans="11:11">
      <c r="K267" s="10"/>
    </row>
    <row r="268" spans="11:11">
      <c r="K268" s="10"/>
    </row>
    <row r="269" spans="11:11">
      <c r="K269" s="10"/>
    </row>
    <row r="270" spans="11:11">
      <c r="K270" s="10"/>
    </row>
    <row r="271" spans="11:11">
      <c r="K271" s="10"/>
    </row>
    <row r="272" spans="11:11">
      <c r="K272" s="10"/>
    </row>
    <row r="273" spans="11:11">
      <c r="K273" s="10"/>
    </row>
    <row r="274" spans="11:11">
      <c r="K274" s="10"/>
    </row>
    <row r="275" spans="11:11">
      <c r="K275" s="10"/>
    </row>
    <row r="276" spans="11:11">
      <c r="K276" s="10"/>
    </row>
    <row r="277" spans="11:11">
      <c r="K277" s="10"/>
    </row>
    <row r="278" spans="11:11">
      <c r="K278" s="10"/>
    </row>
    <row r="279" spans="11:11">
      <c r="K279" s="10"/>
    </row>
    <row r="280" spans="11:11">
      <c r="K280" s="10"/>
    </row>
    <row r="281" spans="11:11">
      <c r="K281" s="10"/>
    </row>
    <row r="282" spans="11:11">
      <c r="K282" s="10"/>
    </row>
    <row r="283" spans="11:11">
      <c r="K283" s="10"/>
    </row>
    <row r="284" spans="11:11">
      <c r="K284" s="10"/>
    </row>
    <row r="285" spans="11:11">
      <c r="K285" s="10"/>
    </row>
    <row r="286" spans="11:11">
      <c r="K286" s="10"/>
    </row>
    <row r="287" spans="11:11">
      <c r="K287" s="10"/>
    </row>
    <row r="288" spans="11:11">
      <c r="K288" s="10"/>
    </row>
    <row r="289" spans="11:11">
      <c r="K289" s="10"/>
    </row>
    <row r="290" spans="11:11">
      <c r="K290" s="10"/>
    </row>
    <row r="291" spans="11:11">
      <c r="K291" s="10"/>
    </row>
    <row r="292" spans="11:11">
      <c r="K292" s="10"/>
    </row>
    <row r="293" spans="11:11">
      <c r="K293" s="10"/>
    </row>
    <row r="294" spans="11:11">
      <c r="K294" s="10"/>
    </row>
    <row r="295" spans="11:11">
      <c r="K295" s="10"/>
    </row>
    <row r="296" spans="11:11">
      <c r="K296" s="10"/>
    </row>
    <row r="297" spans="11:11">
      <c r="K297" s="10"/>
    </row>
    <row r="298" spans="11:11">
      <c r="K298" s="10"/>
    </row>
    <row r="299" spans="11:11">
      <c r="K299" s="10"/>
    </row>
    <row r="300" spans="11:11">
      <c r="K300" s="10"/>
    </row>
    <row r="301" spans="11:11">
      <c r="K301" s="10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Syrios2</cp:lastModifiedBy>
  <dcterms:created xsi:type="dcterms:W3CDTF">2018-01-03T10:14:33Z</dcterms:created>
  <dcterms:modified xsi:type="dcterms:W3CDTF">2020-02-09T09:41:21Z</dcterms:modified>
</cp:coreProperties>
</file>